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Filed Documents 5-24-21\"/>
    </mc:Choice>
  </mc:AlternateContent>
  <bookViews>
    <workbookView xWindow="0" yWindow="0" windowWidth="19200" windowHeight="9000" tabRatio="887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xyz - blank" sheetId="13" r:id="rId32"/>
  </sheets>
  <externalReferences>
    <externalReference r:id="rId33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1">'P.xyz - blank'!$A$1:$P$165</definedName>
    <definedName name="_xlnm.Print_Area" localSheetId="0">PSO.Sch.11.Rates!$A$1:$V$49</definedName>
    <definedName name="_xlnm.Print_Area" localSheetId="1">PSO.WS.F.BPU.ATRR.Projected!$A$1:$O$93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1">'P.xyz - blank'!#REF!</definedName>
    <definedName name="_xlnm.Print_Titles" localSheetId="1">PSO.WS.F.BPU.ATRR.Projected!$1:$6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E13" i="17" l="1"/>
  <c r="H3" i="17" l="1"/>
  <c r="W45" i="17"/>
  <c r="N99" i="45" l="1"/>
  <c r="L99" i="45"/>
  <c r="M99" i="45" s="1"/>
  <c r="N99" i="44"/>
  <c r="L99" i="44"/>
  <c r="M99" i="44" s="1"/>
  <c r="N100" i="43"/>
  <c r="L100" i="43"/>
  <c r="M100" i="43" s="1"/>
  <c r="N100" i="42"/>
  <c r="L100" i="42"/>
  <c r="M100" i="42" s="1"/>
  <c r="L100" i="41"/>
  <c r="M100" i="41" s="1"/>
  <c r="N100" i="40"/>
  <c r="L100" i="40"/>
  <c r="M100" i="40" s="1"/>
  <c r="N101" i="39"/>
  <c r="L101" i="39"/>
  <c r="M101" i="39" s="1"/>
  <c r="N101" i="37"/>
  <c r="L101" i="37"/>
  <c r="M101" i="37" s="1"/>
  <c r="N104" i="31"/>
  <c r="L104" i="31"/>
  <c r="M104" i="31" s="1"/>
  <c r="N103" i="30"/>
  <c r="M103" i="30"/>
  <c r="L103" i="30"/>
  <c r="N104" i="29"/>
  <c r="L104" i="29"/>
  <c r="M104" i="29" s="1"/>
  <c r="N104" i="28"/>
  <c r="L104" i="28"/>
  <c r="M104" i="28" s="1"/>
  <c r="N105" i="27"/>
  <c r="L105" i="27"/>
  <c r="M105" i="27" s="1"/>
  <c r="N108" i="25"/>
  <c r="M108" i="25"/>
  <c r="L108" i="25"/>
  <c r="N106" i="24"/>
  <c r="L106" i="24"/>
  <c r="M106" i="24" s="1"/>
  <c r="N107" i="23"/>
  <c r="L107" i="23"/>
  <c r="M107" i="23" s="1"/>
  <c r="N108" i="22"/>
  <c r="L108" i="22"/>
  <c r="M108" i="22" s="1"/>
  <c r="N111" i="11"/>
  <c r="L111" i="11"/>
  <c r="M111" i="11" s="1"/>
  <c r="N112" i="10"/>
  <c r="L112" i="10"/>
  <c r="M112" i="10" s="1"/>
  <c r="N111" i="9"/>
  <c r="M111" i="9"/>
  <c r="L111" i="9"/>
  <c r="N110" i="8"/>
  <c r="L110" i="8"/>
  <c r="M110" i="8" s="1"/>
  <c r="N112" i="7"/>
  <c r="L112" i="7"/>
  <c r="M112" i="7" s="1"/>
  <c r="N110" i="6"/>
  <c r="L110" i="6"/>
  <c r="M110" i="6" s="1"/>
  <c r="N109" i="5"/>
  <c r="L109" i="5"/>
  <c r="M109" i="5" s="1"/>
  <c r="N109" i="3"/>
  <c r="L109" i="3"/>
  <c r="M109" i="3" s="1"/>
  <c r="N109" i="4"/>
  <c r="L109" i="4"/>
  <c r="M109" i="4" s="1"/>
  <c r="N100" i="41" l="1"/>
  <c r="M17" i="46" l="1"/>
  <c r="K17" i="46"/>
  <c r="L17" i="46" s="1"/>
  <c r="M18" i="45"/>
  <c r="K18" i="45"/>
  <c r="L18" i="45" s="1"/>
  <c r="M18" i="44"/>
  <c r="L18" i="44"/>
  <c r="K18" i="44"/>
  <c r="M19" i="43"/>
  <c r="K19" i="43"/>
  <c r="L19" i="43" s="1"/>
  <c r="M19" i="42"/>
  <c r="K19" i="42"/>
  <c r="L19" i="42" s="1"/>
  <c r="M19" i="41"/>
  <c r="K19" i="41"/>
  <c r="L19" i="41" s="1"/>
  <c r="M19" i="40"/>
  <c r="K19" i="40"/>
  <c r="L19" i="40" s="1"/>
  <c r="M20" i="39"/>
  <c r="K20" i="39"/>
  <c r="L20" i="39" s="1"/>
  <c r="M20" i="38"/>
  <c r="K20" i="38"/>
  <c r="L20" i="38" s="1"/>
  <c r="M20" i="37"/>
  <c r="K20" i="37"/>
  <c r="L20" i="37" s="1"/>
  <c r="M23" i="31"/>
  <c r="K23" i="31"/>
  <c r="L23" i="31" s="1"/>
  <c r="M22" i="30"/>
  <c r="K22" i="30"/>
  <c r="L22" i="30" s="1"/>
  <c r="M23" i="29"/>
  <c r="K23" i="29"/>
  <c r="L23" i="29" s="1"/>
  <c r="M23" i="28"/>
  <c r="K23" i="28"/>
  <c r="L23" i="28" s="1"/>
  <c r="M24" i="27"/>
  <c r="K24" i="27"/>
  <c r="L24" i="27" s="1"/>
  <c r="M27" i="25"/>
  <c r="K27" i="25"/>
  <c r="L27" i="25" s="1"/>
  <c r="M25" i="24"/>
  <c r="K25" i="24"/>
  <c r="L25" i="24" s="1"/>
  <c r="M26" i="23"/>
  <c r="K26" i="23"/>
  <c r="L26" i="23" s="1"/>
  <c r="M27" i="22"/>
  <c r="K27" i="22"/>
  <c r="L27" i="22" s="1"/>
  <c r="M30" i="11"/>
  <c r="K30" i="11"/>
  <c r="L30" i="11" s="1"/>
  <c r="M28" i="5"/>
  <c r="K28" i="5"/>
  <c r="L28" i="5" s="1"/>
  <c r="M28" i="3"/>
  <c r="K28" i="3"/>
  <c r="L28" i="3" s="1"/>
  <c r="M31" i="10"/>
  <c r="K31" i="10"/>
  <c r="L31" i="10" s="1"/>
  <c r="M30" i="9"/>
  <c r="K30" i="9"/>
  <c r="L30" i="9" s="1"/>
  <c r="M29" i="8"/>
  <c r="K29" i="8"/>
  <c r="L29" i="8" s="1"/>
  <c r="M31" i="7"/>
  <c r="K31" i="7"/>
  <c r="L31" i="7" s="1"/>
  <c r="M29" i="6"/>
  <c r="K29" i="6"/>
  <c r="L29" i="6" s="1"/>
  <c r="M1048576" i="6"/>
  <c r="K1048576" i="6"/>
  <c r="L1048576" i="6" s="1"/>
  <c r="M28" i="4"/>
  <c r="N28" i="4" s="1"/>
  <c r="K28" i="4"/>
  <c r="L28" i="4" s="1"/>
  <c r="P45" i="17"/>
  <c r="W44" i="17" l="1"/>
  <c r="W43" i="17"/>
  <c r="N47" i="17"/>
  <c r="E47" i="17"/>
  <c r="M17" i="45" l="1"/>
  <c r="K17" i="45"/>
  <c r="L17" i="45" s="1"/>
  <c r="M17" i="44"/>
  <c r="K17" i="44"/>
  <c r="L17" i="44" s="1"/>
  <c r="M18" i="42"/>
  <c r="K18" i="42"/>
  <c r="L18" i="42" s="1"/>
  <c r="M18" i="43"/>
  <c r="K18" i="43"/>
  <c r="L18" i="43" s="1"/>
  <c r="M18" i="41"/>
  <c r="K18" i="41"/>
  <c r="L18" i="41" s="1"/>
  <c r="M18" i="40"/>
  <c r="K18" i="40"/>
  <c r="L18" i="40" s="1"/>
  <c r="M19" i="39"/>
  <c r="K19" i="39"/>
  <c r="L19" i="39" s="1"/>
  <c r="M19" i="38"/>
  <c r="K19" i="38"/>
  <c r="L19" i="38" s="1"/>
  <c r="M19" i="37"/>
  <c r="K19" i="37"/>
  <c r="L19" i="37" s="1"/>
  <c r="M22" i="31"/>
  <c r="K22" i="31"/>
  <c r="L22" i="31" s="1"/>
  <c r="M21" i="30"/>
  <c r="K21" i="30"/>
  <c r="L21" i="30" s="1"/>
  <c r="M22" i="29"/>
  <c r="K22" i="29"/>
  <c r="L22" i="29" s="1"/>
  <c r="M22" i="28"/>
  <c r="K22" i="28"/>
  <c r="L22" i="28" s="1"/>
  <c r="M23" i="27"/>
  <c r="K23" i="27"/>
  <c r="L23" i="27" s="1"/>
  <c r="M26" i="25"/>
  <c r="N26" i="25" s="1"/>
  <c r="K26" i="25"/>
  <c r="L26" i="25" s="1"/>
  <c r="M24" i="24"/>
  <c r="N24" i="24" s="1"/>
  <c r="K24" i="24"/>
  <c r="L24" i="24" s="1"/>
  <c r="M25" i="23"/>
  <c r="N25" i="23" s="1"/>
  <c r="K25" i="23"/>
  <c r="L25" i="23" s="1"/>
  <c r="M26" i="22"/>
  <c r="N26" i="22" s="1"/>
  <c r="K26" i="22"/>
  <c r="L26" i="22" s="1"/>
  <c r="M29" i="11"/>
  <c r="N29" i="11" s="1"/>
  <c r="K29" i="11"/>
  <c r="L29" i="11" s="1"/>
  <c r="O24" i="24" l="1"/>
  <c r="O25" i="23"/>
  <c r="O26" i="22"/>
  <c r="M30" i="10" l="1"/>
  <c r="N30" i="10" s="1"/>
  <c r="K30" i="10"/>
  <c r="L30" i="10" s="1"/>
  <c r="M29" i="9"/>
  <c r="N29" i="9" s="1"/>
  <c r="K29" i="9"/>
  <c r="L29" i="9" s="1"/>
  <c r="M28" i="8"/>
  <c r="N28" i="8" s="1"/>
  <c r="K28" i="8"/>
  <c r="L28" i="8" s="1"/>
  <c r="M30" i="7"/>
  <c r="N30" i="7" s="1"/>
  <c r="K30" i="7"/>
  <c r="L30" i="7" s="1"/>
  <c r="M28" i="6"/>
  <c r="N28" i="6" s="1"/>
  <c r="K28" i="6"/>
  <c r="L28" i="6" s="1"/>
  <c r="M27" i="5"/>
  <c r="N27" i="5" s="1"/>
  <c r="K27" i="5"/>
  <c r="L27" i="5" s="1"/>
  <c r="M27" i="4"/>
  <c r="N27" i="4" s="1"/>
  <c r="K27" i="4"/>
  <c r="L27" i="4" s="1"/>
  <c r="M27" i="3"/>
  <c r="N27" i="3" s="1"/>
  <c r="K27" i="3"/>
  <c r="L27" i="3" s="1"/>
  <c r="O27" i="4" l="1"/>
  <c r="O30" i="10"/>
  <c r="O29" i="9"/>
  <c r="O28" i="8"/>
  <c r="O30" i="7"/>
  <c r="O28" i="6"/>
  <c r="O27" i="5"/>
  <c r="O27" i="3"/>
  <c r="N99" i="43" l="1"/>
  <c r="O99" i="43" s="1"/>
  <c r="P99" i="43" s="1"/>
  <c r="M99" i="43"/>
  <c r="L99" i="43"/>
  <c r="N99" i="42"/>
  <c r="O99" i="42" s="1"/>
  <c r="P99" i="42" s="1"/>
  <c r="M99" i="42"/>
  <c r="L99" i="42"/>
  <c r="N99" i="41"/>
  <c r="O99" i="41" s="1"/>
  <c r="P99" i="41" s="1"/>
  <c r="M99" i="41"/>
  <c r="L99" i="41"/>
  <c r="N99" i="40"/>
  <c r="O99" i="40" s="1"/>
  <c r="P99" i="40" s="1"/>
  <c r="M99" i="40"/>
  <c r="L99" i="40"/>
  <c r="N100" i="39"/>
  <c r="O100" i="39" s="1"/>
  <c r="L100" i="39"/>
  <c r="M100" i="39" s="1"/>
  <c r="N100" i="37"/>
  <c r="O100" i="37" s="1"/>
  <c r="L100" i="37"/>
  <c r="M100" i="37" s="1"/>
  <c r="N103" i="31"/>
  <c r="O103" i="31" s="1"/>
  <c r="L103" i="31"/>
  <c r="M103" i="31" s="1"/>
  <c r="O102" i="30"/>
  <c r="N102" i="30"/>
  <c r="L102" i="30"/>
  <c r="M102" i="30" s="1"/>
  <c r="N103" i="29"/>
  <c r="O103" i="29" s="1"/>
  <c r="P103" i="29" s="1"/>
  <c r="M103" i="29"/>
  <c r="L103" i="29"/>
  <c r="N103" i="28"/>
  <c r="O103" i="28" s="1"/>
  <c r="P103" i="28" s="1"/>
  <c r="M103" i="28"/>
  <c r="L103" i="28"/>
  <c r="N104" i="27"/>
  <c r="O104" i="27" s="1"/>
  <c r="P104" i="27" s="1"/>
  <c r="M104" i="27"/>
  <c r="L104" i="27"/>
  <c r="N107" i="25"/>
  <c r="O107" i="25" s="1"/>
  <c r="P107" i="25" s="1"/>
  <c r="M107" i="25"/>
  <c r="L107" i="25"/>
  <c r="N105" i="24"/>
  <c r="O105" i="24" s="1"/>
  <c r="P105" i="24" s="1"/>
  <c r="M105" i="24"/>
  <c r="L105" i="24"/>
  <c r="N106" i="23"/>
  <c r="O106" i="23" s="1"/>
  <c r="P106" i="23" s="1"/>
  <c r="M106" i="23"/>
  <c r="L106" i="23"/>
  <c r="N107" i="22"/>
  <c r="O107" i="22" s="1"/>
  <c r="P107" i="22" s="1"/>
  <c r="M107" i="22"/>
  <c r="L107" i="22"/>
  <c r="N110" i="11"/>
  <c r="O110" i="11" s="1"/>
  <c r="P110" i="11" s="1"/>
  <c r="M110" i="11"/>
  <c r="L110" i="11"/>
  <c r="N111" i="10"/>
  <c r="O111" i="10" s="1"/>
  <c r="P111" i="10" s="1"/>
  <c r="M111" i="10"/>
  <c r="L111" i="10"/>
  <c r="N110" i="9"/>
  <c r="O110" i="9" s="1"/>
  <c r="P110" i="9" s="1"/>
  <c r="M110" i="9"/>
  <c r="L110" i="9"/>
  <c r="N109" i="8"/>
  <c r="O109" i="8" s="1"/>
  <c r="P109" i="8" s="1"/>
  <c r="M109" i="8"/>
  <c r="L109" i="8"/>
  <c r="N111" i="7"/>
  <c r="O111" i="7" s="1"/>
  <c r="P111" i="7" s="1"/>
  <c r="M111" i="7"/>
  <c r="L111" i="7"/>
  <c r="N109" i="6"/>
  <c r="O109" i="6" s="1"/>
  <c r="P109" i="6" s="1"/>
  <c r="M109" i="6"/>
  <c r="L109" i="6"/>
  <c r="N108" i="5"/>
  <c r="O108" i="5" s="1"/>
  <c r="P108" i="5" s="1"/>
  <c r="M108" i="5"/>
  <c r="L108" i="5"/>
  <c r="N108" i="4"/>
  <c r="O108" i="4" s="1"/>
  <c r="P108" i="4" s="1"/>
  <c r="M108" i="4"/>
  <c r="L108" i="4"/>
  <c r="N108" i="3"/>
  <c r="O108" i="3" s="1"/>
  <c r="P108" i="3" s="1"/>
  <c r="M108" i="3"/>
  <c r="L108" i="3"/>
  <c r="O47" i="17"/>
  <c r="P44" i="17"/>
  <c r="P43" i="17"/>
  <c r="P100" i="39" l="1"/>
  <c r="P103" i="31"/>
  <c r="P100" i="37"/>
  <c r="P102" i="30"/>
  <c r="J47" i="17" l="1"/>
  <c r="K45" i="17" s="1"/>
  <c r="L45" i="17" s="1"/>
  <c r="M17" i="43" l="1"/>
  <c r="K17" i="43"/>
  <c r="E36" i="1"/>
  <c r="E35" i="1"/>
  <c r="C36" i="1"/>
  <c r="C35" i="1"/>
  <c r="L19" i="1"/>
  <c r="I54" i="17"/>
  <c r="A4" i="1" l="1"/>
  <c r="A2" i="1"/>
  <c r="P42" i="17" l="1"/>
  <c r="E36" i="2" l="1"/>
  <c r="E35" i="2"/>
  <c r="C36" i="2"/>
  <c r="C35" i="2"/>
  <c r="C34" i="2"/>
  <c r="W42" i="17" l="1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100" i="46"/>
  <c r="M100" i="46"/>
  <c r="O99" i="46"/>
  <c r="M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20" i="46"/>
  <c r="L20" i="46"/>
  <c r="N19" i="46"/>
  <c r="L19" i="46"/>
  <c r="N18" i="46"/>
  <c r="L18" i="46"/>
  <c r="N17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K11" i="46"/>
  <c r="I11" i="46"/>
  <c r="D90" i="46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1" i="45"/>
  <c r="M101" i="45"/>
  <c r="O100" i="45"/>
  <c r="M100" i="45"/>
  <c r="O99" i="45"/>
  <c r="C99" i="45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D96" i="45"/>
  <c r="L93" i="45"/>
  <c r="J93" i="45"/>
  <c r="D91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1" i="45"/>
  <c r="L21" i="45"/>
  <c r="N20" i="45"/>
  <c r="L20" i="45"/>
  <c r="N19" i="45"/>
  <c r="L19" i="45"/>
  <c r="N18" i="45"/>
  <c r="N17" i="45"/>
  <c r="C17" i="45"/>
  <c r="K11" i="45"/>
  <c r="I11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O101" i="44"/>
  <c r="M101" i="44"/>
  <c r="O100" i="44"/>
  <c r="M100" i="44"/>
  <c r="C100" i="44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O99" i="44"/>
  <c r="C99" i="44"/>
  <c r="D96" i="44"/>
  <c r="L93" i="44"/>
  <c r="J93" i="44"/>
  <c r="D91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L21" i="44"/>
  <c r="N20" i="44"/>
  <c r="L20" i="44"/>
  <c r="N19" i="44"/>
  <c r="L19" i="44"/>
  <c r="N18" i="44"/>
  <c r="N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K11" i="44"/>
  <c r="I11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M102" i="43"/>
  <c r="O101" i="43"/>
  <c r="M101" i="43"/>
  <c r="O100" i="43"/>
  <c r="C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2" i="43"/>
  <c r="L22" i="43"/>
  <c r="N21" i="43"/>
  <c r="L21" i="43"/>
  <c r="N20" i="43"/>
  <c r="L20" i="43"/>
  <c r="N19" i="43"/>
  <c r="N18" i="43"/>
  <c r="N17" i="43"/>
  <c r="L17" i="43"/>
  <c r="C17" i="43"/>
  <c r="K11" i="43"/>
  <c r="I11" i="43"/>
  <c r="D8" i="43"/>
  <c r="D90" i="43" s="1"/>
  <c r="P1" i="43"/>
  <c r="P83" i="43" s="1"/>
  <c r="M17" i="42"/>
  <c r="N17" i="42" s="1"/>
  <c r="K17" i="42"/>
  <c r="L17" i="42" s="1"/>
  <c r="M17" i="41"/>
  <c r="N17" i="41" s="1"/>
  <c r="K17" i="41"/>
  <c r="L17" i="41" s="1"/>
  <c r="M17" i="40"/>
  <c r="N17" i="40" s="1"/>
  <c r="O17" i="40" s="1"/>
  <c r="K17" i="40"/>
  <c r="L17" i="40" s="1"/>
  <c r="N99" i="39"/>
  <c r="L99" i="39"/>
  <c r="M18" i="39"/>
  <c r="K18" i="39"/>
  <c r="L18" i="39" s="1"/>
  <c r="O18" i="39" s="1"/>
  <c r="N99" i="38"/>
  <c r="L99" i="38"/>
  <c r="M18" i="38"/>
  <c r="K18" i="38"/>
  <c r="L18" i="38" s="1"/>
  <c r="N99" i="37"/>
  <c r="L99" i="37"/>
  <c r="M18" i="37"/>
  <c r="N18" i="37" s="1"/>
  <c r="K18" i="37"/>
  <c r="L18" i="37" s="1"/>
  <c r="N102" i="31"/>
  <c r="O102" i="31" s="1"/>
  <c r="P102" i="31"/>
  <c r="L102" i="31"/>
  <c r="M102" i="31" s="1"/>
  <c r="M21" i="31"/>
  <c r="N21" i="31" s="1"/>
  <c r="K21" i="31"/>
  <c r="L21" i="31" s="1"/>
  <c r="N101" i="30"/>
  <c r="O101" i="30" s="1"/>
  <c r="L101" i="30"/>
  <c r="M101" i="30" s="1"/>
  <c r="M20" i="30"/>
  <c r="N20" i="30" s="1"/>
  <c r="K20" i="30"/>
  <c r="N102" i="29"/>
  <c r="O102" i="29" s="1"/>
  <c r="P102" i="29"/>
  <c r="L102" i="29"/>
  <c r="M102" i="29" s="1"/>
  <c r="M21" i="29"/>
  <c r="N21" i="29" s="1"/>
  <c r="K21" i="29"/>
  <c r="L21" i="29" s="1"/>
  <c r="N102" i="28"/>
  <c r="O102" i="28" s="1"/>
  <c r="P102" i="28" s="1"/>
  <c r="L102" i="28"/>
  <c r="M102" i="28" s="1"/>
  <c r="M21" i="28"/>
  <c r="N21" i="28" s="1"/>
  <c r="K21" i="28"/>
  <c r="L21" i="28"/>
  <c r="N103" i="27"/>
  <c r="O103" i="27"/>
  <c r="P103" i="27" s="1"/>
  <c r="M103" i="27"/>
  <c r="L103" i="27"/>
  <c r="M22" i="27"/>
  <c r="N22" i="27" s="1"/>
  <c r="K22" i="27"/>
  <c r="L22" i="27" s="1"/>
  <c r="N106" i="25"/>
  <c r="O106" i="25" s="1"/>
  <c r="M106" i="25"/>
  <c r="P106" i="25" s="1"/>
  <c r="L106" i="25"/>
  <c r="M25" i="25"/>
  <c r="N25" i="25" s="1"/>
  <c r="K25" i="25"/>
  <c r="L25" i="25" s="1"/>
  <c r="N104" i="24"/>
  <c r="O104" i="24"/>
  <c r="P104" i="24" s="1"/>
  <c r="M104" i="24"/>
  <c r="L104" i="24"/>
  <c r="M23" i="24"/>
  <c r="N23" i="24" s="1"/>
  <c r="O23" i="24" s="1"/>
  <c r="K23" i="24"/>
  <c r="L23" i="24" s="1"/>
  <c r="N105" i="23"/>
  <c r="O105" i="23"/>
  <c r="M105" i="23"/>
  <c r="L105" i="23"/>
  <c r="M24" i="23"/>
  <c r="N24" i="23" s="1"/>
  <c r="K24" i="23"/>
  <c r="L24" i="23" s="1"/>
  <c r="N106" i="22"/>
  <c r="O106" i="22"/>
  <c r="P106" i="22" s="1"/>
  <c r="M106" i="22"/>
  <c r="L106" i="22"/>
  <c r="M25" i="22"/>
  <c r="N25" i="22" s="1"/>
  <c r="O25" i="22" s="1"/>
  <c r="K25" i="22"/>
  <c r="L25" i="22" s="1"/>
  <c r="N109" i="11"/>
  <c r="O109" i="11"/>
  <c r="M109" i="11"/>
  <c r="L109" i="11"/>
  <c r="M28" i="11"/>
  <c r="N28" i="11" s="1"/>
  <c r="K28" i="11"/>
  <c r="L28" i="11" s="1"/>
  <c r="N110" i="10"/>
  <c r="O110" i="10"/>
  <c r="P110" i="10" s="1"/>
  <c r="M110" i="10"/>
  <c r="L110" i="10"/>
  <c r="M29" i="10"/>
  <c r="N29" i="10" s="1"/>
  <c r="K29" i="10"/>
  <c r="L29" i="10" s="1"/>
  <c r="N109" i="9"/>
  <c r="O109" i="9"/>
  <c r="M109" i="9"/>
  <c r="L109" i="9"/>
  <c r="M28" i="9"/>
  <c r="N28" i="9" s="1"/>
  <c r="K28" i="9"/>
  <c r="L28" i="9" s="1"/>
  <c r="N108" i="8"/>
  <c r="O108" i="8"/>
  <c r="P108" i="8" s="1"/>
  <c r="M108" i="8"/>
  <c r="L108" i="8"/>
  <c r="M27" i="8"/>
  <c r="N27" i="8" s="1"/>
  <c r="O27" i="8" s="1"/>
  <c r="K27" i="8"/>
  <c r="L27" i="8" s="1"/>
  <c r="N110" i="7"/>
  <c r="O110" i="7"/>
  <c r="M110" i="7"/>
  <c r="L110" i="7"/>
  <c r="M29" i="7"/>
  <c r="N29" i="7" s="1"/>
  <c r="K29" i="7"/>
  <c r="L29" i="7" s="1"/>
  <c r="N108" i="6"/>
  <c r="O108" i="6"/>
  <c r="M108" i="6"/>
  <c r="L108" i="6"/>
  <c r="M27" i="6"/>
  <c r="N27" i="6" s="1"/>
  <c r="K27" i="6"/>
  <c r="L27" i="6" s="1"/>
  <c r="N107" i="5"/>
  <c r="O107" i="5"/>
  <c r="P107" i="5" s="1"/>
  <c r="M107" i="5"/>
  <c r="L107" i="5"/>
  <c r="M26" i="5"/>
  <c r="N26" i="5" s="1"/>
  <c r="K26" i="5"/>
  <c r="L26" i="5" s="1"/>
  <c r="N107" i="4"/>
  <c r="O107" i="4" s="1"/>
  <c r="L107" i="4"/>
  <c r="M107" i="4" s="1"/>
  <c r="M26" i="4"/>
  <c r="N26" i="4" s="1"/>
  <c r="K26" i="4"/>
  <c r="L26" i="4" s="1"/>
  <c r="N107" i="3"/>
  <c r="O107" i="3"/>
  <c r="P107" i="3" s="1"/>
  <c r="M107" i="3"/>
  <c r="L107" i="3"/>
  <c r="M26" i="3"/>
  <c r="N26" i="3" s="1"/>
  <c r="K26" i="3"/>
  <c r="L26" i="3" s="1"/>
  <c r="D92" i="6"/>
  <c r="U2" i="17"/>
  <c r="T14" i="17" s="1"/>
  <c r="M26" i="6"/>
  <c r="N26" i="6" s="1"/>
  <c r="L26" i="6"/>
  <c r="K26" i="6"/>
  <c r="M17" i="38"/>
  <c r="K17" i="38"/>
  <c r="L17" i="38"/>
  <c r="M17" i="39"/>
  <c r="K17" i="39"/>
  <c r="N101" i="31"/>
  <c r="O101" i="31" s="1"/>
  <c r="L101" i="31"/>
  <c r="M101" i="31" s="1"/>
  <c r="M20" i="31"/>
  <c r="N20" i="31"/>
  <c r="K20" i="31"/>
  <c r="M17" i="37"/>
  <c r="N17" i="37" s="1"/>
  <c r="K17" i="37"/>
  <c r="L17" i="37" s="1"/>
  <c r="W41" i="17"/>
  <c r="P41" i="17"/>
  <c r="W40" i="17"/>
  <c r="P40" i="17"/>
  <c r="M19" i="30"/>
  <c r="N19" i="30" s="1"/>
  <c r="O19" i="30" s="1"/>
  <c r="K19" i="30"/>
  <c r="L19" i="30" s="1"/>
  <c r="N100" i="30"/>
  <c r="O100" i="30" s="1"/>
  <c r="L100" i="30"/>
  <c r="M100" i="30" s="1"/>
  <c r="O20" i="29"/>
  <c r="M20" i="29"/>
  <c r="N20" i="29"/>
  <c r="K20" i="29"/>
  <c r="L20" i="29" s="1"/>
  <c r="N101" i="29"/>
  <c r="O101" i="29"/>
  <c r="L101" i="29"/>
  <c r="M101" i="29"/>
  <c r="N101" i="28"/>
  <c r="O101" i="28"/>
  <c r="L101" i="28"/>
  <c r="M101" i="28" s="1"/>
  <c r="M20" i="28"/>
  <c r="N20" i="28" s="1"/>
  <c r="K20" i="28"/>
  <c r="L20" i="28" s="1"/>
  <c r="N102" i="27"/>
  <c r="O102" i="27" s="1"/>
  <c r="M102" i="27"/>
  <c r="L102" i="27"/>
  <c r="M21" i="27"/>
  <c r="N21" i="27" s="1"/>
  <c r="O21" i="27" s="1"/>
  <c r="K21" i="27"/>
  <c r="L21" i="27"/>
  <c r="N105" i="25"/>
  <c r="O105" i="25"/>
  <c r="M105" i="25"/>
  <c r="L105" i="25"/>
  <c r="M24" i="25"/>
  <c r="N24" i="25" s="1"/>
  <c r="K24" i="25"/>
  <c r="L24" i="25" s="1"/>
  <c r="N103" i="24"/>
  <c r="O103" i="24" s="1"/>
  <c r="L103" i="24"/>
  <c r="M103" i="24" s="1"/>
  <c r="M22" i="24"/>
  <c r="N22" i="24" s="1"/>
  <c r="O22" i="24" s="1"/>
  <c r="K22" i="24"/>
  <c r="L22" i="24" s="1"/>
  <c r="N104" i="23"/>
  <c r="O104" i="23"/>
  <c r="P104" i="23" s="1"/>
  <c r="L104" i="23"/>
  <c r="M104" i="23"/>
  <c r="M23" i="23"/>
  <c r="N23" i="23" s="1"/>
  <c r="K23" i="23"/>
  <c r="L23" i="23" s="1"/>
  <c r="N105" i="22"/>
  <c r="O105" i="22" s="1"/>
  <c r="L105" i="22"/>
  <c r="M105" i="22"/>
  <c r="M24" i="22"/>
  <c r="N24" i="22" s="1"/>
  <c r="O24" i="22" s="1"/>
  <c r="K24" i="22"/>
  <c r="L24" i="22" s="1"/>
  <c r="N108" i="11"/>
  <c r="O108" i="11"/>
  <c r="L108" i="11"/>
  <c r="M108" i="11" s="1"/>
  <c r="P108" i="11" s="1"/>
  <c r="M27" i="11"/>
  <c r="N27" i="11"/>
  <c r="L27" i="11"/>
  <c r="K27" i="11"/>
  <c r="N109" i="10"/>
  <c r="O109" i="10"/>
  <c r="M109" i="10"/>
  <c r="L109" i="10"/>
  <c r="M28" i="10"/>
  <c r="N28" i="10"/>
  <c r="O28" i="10"/>
  <c r="K28" i="10"/>
  <c r="L28" i="10" s="1"/>
  <c r="N108" i="9"/>
  <c r="O108" i="9"/>
  <c r="P108" i="9" s="1"/>
  <c r="L108" i="9"/>
  <c r="M108" i="9"/>
  <c r="M27" i="9"/>
  <c r="N27" i="9" s="1"/>
  <c r="K27" i="9"/>
  <c r="L27" i="9" s="1"/>
  <c r="N107" i="8"/>
  <c r="O107" i="8" s="1"/>
  <c r="L107" i="8"/>
  <c r="M107" i="8"/>
  <c r="M26" i="8"/>
  <c r="N26" i="8" s="1"/>
  <c r="K26" i="8"/>
  <c r="L26" i="8" s="1"/>
  <c r="N109" i="7"/>
  <c r="O109" i="7" s="1"/>
  <c r="P109" i="7" s="1"/>
  <c r="L109" i="7"/>
  <c r="M109" i="7" s="1"/>
  <c r="M28" i="7"/>
  <c r="N28" i="7" s="1"/>
  <c r="K28" i="7"/>
  <c r="L28" i="7" s="1"/>
  <c r="N107" i="6"/>
  <c r="O107" i="6"/>
  <c r="L107" i="6"/>
  <c r="M107" i="6" s="1"/>
  <c r="N106" i="5"/>
  <c r="O106" i="5" s="1"/>
  <c r="P106" i="5" s="1"/>
  <c r="L106" i="5"/>
  <c r="M106" i="5"/>
  <c r="M25" i="5"/>
  <c r="N25" i="5" s="1"/>
  <c r="O25" i="5" s="1"/>
  <c r="L25" i="5"/>
  <c r="K25" i="5"/>
  <c r="N106" i="4"/>
  <c r="O106" i="4"/>
  <c r="P106" i="4"/>
  <c r="L106" i="4"/>
  <c r="M106" i="4"/>
  <c r="M25" i="4"/>
  <c r="N25" i="4"/>
  <c r="O25" i="4" s="1"/>
  <c r="K25" i="4"/>
  <c r="L25" i="4" s="1"/>
  <c r="N106" i="3"/>
  <c r="O106" i="3" s="1"/>
  <c r="L106" i="3"/>
  <c r="M106" i="3" s="1"/>
  <c r="M25" i="3"/>
  <c r="N25" i="3" s="1"/>
  <c r="O25" i="3" s="1"/>
  <c r="L25" i="3"/>
  <c r="K25" i="3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M102" i="42"/>
  <c r="O101" i="42"/>
  <c r="M101" i="42"/>
  <c r="O100" i="42"/>
  <c r="C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2" i="42"/>
  <c r="L22" i="42"/>
  <c r="N21" i="42"/>
  <c r="L21" i="42"/>
  <c r="N20" i="42"/>
  <c r="L20" i="42"/>
  <c r="N19" i="42"/>
  <c r="N18" i="42"/>
  <c r="C17" i="42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M102" i="41"/>
  <c r="O101" i="41"/>
  <c r="M101" i="41"/>
  <c r="O100" i="41"/>
  <c r="C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2" i="41"/>
  <c r="L22" i="41"/>
  <c r="N21" i="41"/>
  <c r="L21" i="41"/>
  <c r="N20" i="41"/>
  <c r="L20" i="41"/>
  <c r="N19" i="41"/>
  <c r="N18" i="41"/>
  <c r="C17" i="41"/>
  <c r="K11" i="41"/>
  <c r="I11" i="41"/>
  <c r="D8" i="41"/>
  <c r="D90" i="41" s="1"/>
  <c r="P1" i="41"/>
  <c r="P83" i="41" s="1"/>
  <c r="F66" i="2"/>
  <c r="C66" i="2"/>
  <c r="E17" i="1"/>
  <c r="F13" i="1"/>
  <c r="C80" i="1" s="1"/>
  <c r="F87" i="1"/>
  <c r="C81" i="1"/>
  <c r="C75" i="1"/>
  <c r="C64" i="1"/>
  <c r="C58" i="1"/>
  <c r="C47" i="1"/>
  <c r="C46" i="1"/>
  <c r="C45" i="1"/>
  <c r="C34" i="1"/>
  <c r="C31" i="1"/>
  <c r="C24" i="1"/>
  <c r="E17" i="13"/>
  <c r="J92" i="45"/>
  <c r="N100" i="31"/>
  <c r="O100" i="31"/>
  <c r="L100" i="31"/>
  <c r="M100" i="31" s="1"/>
  <c r="M19" i="31"/>
  <c r="N19" i="31" s="1"/>
  <c r="O19" i="31" s="1"/>
  <c r="K19" i="31"/>
  <c r="L19" i="31"/>
  <c r="N99" i="30"/>
  <c r="L99" i="30"/>
  <c r="M99" i="30" s="1"/>
  <c r="M18" i="30"/>
  <c r="N18" i="30" s="1"/>
  <c r="K18" i="30"/>
  <c r="L18" i="30" s="1"/>
  <c r="N100" i="29"/>
  <c r="O100" i="29"/>
  <c r="L100" i="29"/>
  <c r="M100" i="29" s="1"/>
  <c r="M19" i="29"/>
  <c r="N19" i="29" s="1"/>
  <c r="L19" i="29"/>
  <c r="K19" i="29"/>
  <c r="N100" i="28"/>
  <c r="O100" i="28" s="1"/>
  <c r="L100" i="28"/>
  <c r="M100" i="28" s="1"/>
  <c r="M19" i="28"/>
  <c r="N19" i="28"/>
  <c r="K19" i="28"/>
  <c r="L19" i="28" s="1"/>
  <c r="N101" i="27"/>
  <c r="O101" i="27" s="1"/>
  <c r="P101" i="27" s="1"/>
  <c r="L101" i="27"/>
  <c r="M101" i="27"/>
  <c r="M20" i="27"/>
  <c r="N20" i="27"/>
  <c r="K20" i="27"/>
  <c r="L20" i="27" s="1"/>
  <c r="N104" i="25"/>
  <c r="O104" i="25" s="1"/>
  <c r="P104" i="25" s="1"/>
  <c r="L104" i="25"/>
  <c r="M104" i="25" s="1"/>
  <c r="M23" i="25"/>
  <c r="N23" i="25"/>
  <c r="O23" i="25" s="1"/>
  <c r="K23" i="25"/>
  <c r="L23" i="25" s="1"/>
  <c r="N102" i="24"/>
  <c r="O102" i="24" s="1"/>
  <c r="P102" i="24"/>
  <c r="L102" i="24"/>
  <c r="M102" i="24"/>
  <c r="M21" i="24"/>
  <c r="N21" i="24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/>
  <c r="L104" i="22"/>
  <c r="M104" i="22" s="1"/>
  <c r="M23" i="22"/>
  <c r="N23" i="22" s="1"/>
  <c r="O23" i="22" s="1"/>
  <c r="K23" i="22"/>
  <c r="L23" i="22"/>
  <c r="N107" i="11"/>
  <c r="O107" i="11"/>
  <c r="P107" i="11" s="1"/>
  <c r="L107" i="11"/>
  <c r="M107" i="11" s="1"/>
  <c r="M26" i="11"/>
  <c r="N26" i="11" s="1"/>
  <c r="O26" i="11" s="1"/>
  <c r="K26" i="11"/>
  <c r="L26" i="11"/>
  <c r="N108" i="10"/>
  <c r="O108" i="10"/>
  <c r="L108" i="10"/>
  <c r="M108" i="10" s="1"/>
  <c r="M27" i="10"/>
  <c r="N27" i="10" s="1"/>
  <c r="O27" i="10" s="1"/>
  <c r="K27" i="10"/>
  <c r="L27" i="10"/>
  <c r="N107" i="9"/>
  <c r="O107" i="9"/>
  <c r="L107" i="9"/>
  <c r="M107" i="9" s="1"/>
  <c r="M26" i="9"/>
  <c r="N26" i="9" s="1"/>
  <c r="K26" i="9"/>
  <c r="L26" i="9" s="1"/>
  <c r="N106" i="8"/>
  <c r="O106" i="8" s="1"/>
  <c r="L106" i="8"/>
  <c r="M106" i="8" s="1"/>
  <c r="P106" i="8"/>
  <c r="M25" i="8"/>
  <c r="N25" i="8"/>
  <c r="K25" i="8"/>
  <c r="L25" i="8"/>
  <c r="N108" i="7"/>
  <c r="O108" i="7" s="1"/>
  <c r="P108" i="7" s="1"/>
  <c r="L108" i="7"/>
  <c r="M108" i="7"/>
  <c r="M27" i="7"/>
  <c r="N27" i="7"/>
  <c r="K27" i="7"/>
  <c r="L27" i="7"/>
  <c r="M25" i="6"/>
  <c r="N25" i="6"/>
  <c r="K25" i="6"/>
  <c r="L25" i="6" s="1"/>
  <c r="N106" i="6"/>
  <c r="O106" i="6" s="1"/>
  <c r="P106" i="6" s="1"/>
  <c r="L106" i="6"/>
  <c r="M106" i="6"/>
  <c r="N105" i="5"/>
  <c r="O105" i="5"/>
  <c r="P105" i="5" s="1"/>
  <c r="L105" i="5"/>
  <c r="M105" i="5" s="1"/>
  <c r="M24" i="5"/>
  <c r="N24" i="5" s="1"/>
  <c r="O24" i="5"/>
  <c r="K24" i="5"/>
  <c r="L24" i="5"/>
  <c r="N105" i="4"/>
  <c r="L105" i="4"/>
  <c r="M105" i="4" s="1"/>
  <c r="M24" i="4"/>
  <c r="N24" i="4" s="1"/>
  <c r="K24" i="4"/>
  <c r="L24" i="4" s="1"/>
  <c r="M24" i="3"/>
  <c r="N24" i="3" s="1"/>
  <c r="K24" i="3"/>
  <c r="L24" i="3" s="1"/>
  <c r="O24" i="3" s="1"/>
  <c r="N105" i="3"/>
  <c r="O105" i="3"/>
  <c r="L105" i="3"/>
  <c r="M105" i="3" s="1"/>
  <c r="P39" i="17"/>
  <c r="P38" i="17"/>
  <c r="P37" i="17"/>
  <c r="P36" i="17"/>
  <c r="O26" i="9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M102" i="40"/>
  <c r="O101" i="40"/>
  <c r="M101" i="40"/>
  <c r="O100" i="40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2" i="40"/>
  <c r="L22" i="40"/>
  <c r="N21" i="40"/>
  <c r="L21" i="40"/>
  <c r="N20" i="40"/>
  <c r="L20" i="40"/>
  <c r="N19" i="40"/>
  <c r="N18" i="40"/>
  <c r="O18" i="40" s="1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3" i="39"/>
  <c r="M103" i="39"/>
  <c r="O102" i="39"/>
  <c r="M102" i="39"/>
  <c r="O101" i="39"/>
  <c r="O99" i="39"/>
  <c r="M99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O67" i="39" s="1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O45" i="39" s="1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O35" i="39" s="1"/>
  <c r="N34" i="39"/>
  <c r="L34" i="39"/>
  <c r="N33" i="39"/>
  <c r="L33" i="39"/>
  <c r="N32" i="39"/>
  <c r="L32" i="39"/>
  <c r="N31" i="39"/>
  <c r="L31" i="39"/>
  <c r="O31" i="39" s="1"/>
  <c r="N30" i="39"/>
  <c r="L30" i="39"/>
  <c r="N29" i="39"/>
  <c r="L29" i="39"/>
  <c r="N28" i="39"/>
  <c r="L28" i="39"/>
  <c r="N27" i="39"/>
  <c r="L27" i="39"/>
  <c r="N26" i="39"/>
  <c r="L26" i="39"/>
  <c r="N25" i="39"/>
  <c r="L25" i="39"/>
  <c r="N24" i="39"/>
  <c r="L24" i="39"/>
  <c r="N23" i="39"/>
  <c r="L23" i="39"/>
  <c r="N22" i="39"/>
  <c r="L22" i="39"/>
  <c r="N21" i="39"/>
  <c r="L21" i="39"/>
  <c r="N20" i="39"/>
  <c r="N19" i="39"/>
  <c r="N18" i="39"/>
  <c r="N17" i="39"/>
  <c r="L17" i="39"/>
  <c r="O17" i="39"/>
  <c r="C17" i="39"/>
  <c r="C18" i="39" s="1"/>
  <c r="C19" i="39" s="1"/>
  <c r="C20" i="39" s="1"/>
  <c r="C21" i="39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2" i="38"/>
  <c r="M102" i="38"/>
  <c r="O101" i="38"/>
  <c r="M101" i="38"/>
  <c r="O99" i="38"/>
  <c r="M99" i="38"/>
  <c r="P99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L22" i="38"/>
  <c r="N21" i="38"/>
  <c r="L21" i="38"/>
  <c r="N20" i="38"/>
  <c r="N19" i="38"/>
  <c r="N18" i="38"/>
  <c r="N17" i="38"/>
  <c r="O17" i="38" s="1"/>
  <c r="C18" i="38"/>
  <c r="C19" i="38" s="1"/>
  <c r="C20" i="38" s="1"/>
  <c r="C21" i="38" s="1"/>
  <c r="C22" i="38" s="1"/>
  <c r="C23" i="38" s="1"/>
  <c r="C24" i="38" s="1"/>
  <c r="C25" i="38" s="1"/>
  <c r="C26" i="38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M102" i="37"/>
  <c r="O101" i="37"/>
  <c r="O99" i="37"/>
  <c r="M99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L22" i="37"/>
  <c r="N21" i="37"/>
  <c r="L21" i="37"/>
  <c r="N20" i="37"/>
  <c r="N19" i="37"/>
  <c r="C17" i="37"/>
  <c r="C18" i="37"/>
  <c r="C19" i="37" s="1"/>
  <c r="C20" i="37"/>
  <c r="C21" i="37" s="1"/>
  <c r="C22" i="37" s="1"/>
  <c r="C23" i="37" s="1"/>
  <c r="C24" i="37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/>
  <c r="S47" i="17"/>
  <c r="M47" i="17"/>
  <c r="N99" i="31"/>
  <c r="O99" i="31" s="1"/>
  <c r="L99" i="31"/>
  <c r="M99" i="31" s="1"/>
  <c r="D96" i="31"/>
  <c r="M18" i="31"/>
  <c r="N18" i="31"/>
  <c r="K18" i="31"/>
  <c r="L18" i="31"/>
  <c r="M17" i="30"/>
  <c r="N17" i="30"/>
  <c r="K17" i="30"/>
  <c r="L17" i="30" s="1"/>
  <c r="N99" i="29"/>
  <c r="O99" i="29" s="1"/>
  <c r="L99" i="29"/>
  <c r="M99" i="29" s="1"/>
  <c r="M18" i="29"/>
  <c r="N18" i="29" s="1"/>
  <c r="K18" i="29"/>
  <c r="L18" i="29"/>
  <c r="N99" i="28"/>
  <c r="O99" i="28"/>
  <c r="L99" i="28"/>
  <c r="M99" i="28" s="1"/>
  <c r="M18" i="28"/>
  <c r="N18" i="28"/>
  <c r="K18" i="28"/>
  <c r="L18" i="28"/>
  <c r="N103" i="25"/>
  <c r="O103" i="25"/>
  <c r="L103" i="25"/>
  <c r="M103" i="25" s="1"/>
  <c r="M22" i="25"/>
  <c r="N22" i="25" s="1"/>
  <c r="K22" i="25"/>
  <c r="L22" i="25" s="1"/>
  <c r="N101" i="24"/>
  <c r="O101" i="24" s="1"/>
  <c r="L101" i="24"/>
  <c r="M101" i="24" s="1"/>
  <c r="M20" i="24"/>
  <c r="N20" i="24" s="1"/>
  <c r="O20" i="24" s="1"/>
  <c r="K20" i="24"/>
  <c r="L20" i="24"/>
  <c r="M21" i="23"/>
  <c r="N21" i="23"/>
  <c r="K21" i="23"/>
  <c r="L21" i="23"/>
  <c r="N102" i="23"/>
  <c r="O102" i="23"/>
  <c r="L102" i="23"/>
  <c r="M102" i="23"/>
  <c r="N103" i="22"/>
  <c r="O103" i="22"/>
  <c r="L103" i="22"/>
  <c r="M103" i="22"/>
  <c r="M22" i="22"/>
  <c r="N22" i="22"/>
  <c r="K22" i="22"/>
  <c r="L22" i="22"/>
  <c r="N106" i="11"/>
  <c r="O106" i="11"/>
  <c r="L106" i="11"/>
  <c r="M106" i="11"/>
  <c r="M25" i="11"/>
  <c r="N25" i="11"/>
  <c r="K25" i="11"/>
  <c r="L25" i="11"/>
  <c r="N107" i="10"/>
  <c r="O107" i="10"/>
  <c r="L107" i="10"/>
  <c r="M107" i="10"/>
  <c r="M26" i="10"/>
  <c r="N26" i="10"/>
  <c r="K26" i="10"/>
  <c r="L26" i="10"/>
  <c r="N106" i="9"/>
  <c r="O106" i="9"/>
  <c r="P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N107" i="7"/>
  <c r="O107" i="7"/>
  <c r="L107" i="7"/>
  <c r="M107" i="7"/>
  <c r="M26" i="7"/>
  <c r="N26" i="7"/>
  <c r="K26" i="7"/>
  <c r="L26" i="7"/>
  <c r="N105" i="6"/>
  <c r="O105" i="6"/>
  <c r="L105" i="6"/>
  <c r="M105" i="6"/>
  <c r="M24" i="6"/>
  <c r="N24" i="6"/>
  <c r="K24" i="6"/>
  <c r="L24" i="6"/>
  <c r="N104" i="5"/>
  <c r="O104" i="5"/>
  <c r="L104" i="5"/>
  <c r="M104" i="5"/>
  <c r="M23" i="5"/>
  <c r="N23" i="5"/>
  <c r="K23" i="5"/>
  <c r="L23" i="5"/>
  <c r="N104" i="4"/>
  <c r="O104" i="4"/>
  <c r="L104" i="4"/>
  <c r="M104" i="4"/>
  <c r="M23" i="4"/>
  <c r="N23" i="4"/>
  <c r="K23" i="4"/>
  <c r="L23" i="4"/>
  <c r="N104" i="3"/>
  <c r="O104" i="3"/>
  <c r="P104" i="3" s="1"/>
  <c r="L104" i="3"/>
  <c r="M104" i="3" s="1"/>
  <c r="M23" i="3"/>
  <c r="N23" i="3" s="1"/>
  <c r="O23" i="3" s="1"/>
  <c r="K23" i="3"/>
  <c r="L23" i="3" s="1"/>
  <c r="N100" i="27"/>
  <c r="O100" i="27"/>
  <c r="P100" i="27" s="1"/>
  <c r="L100" i="27"/>
  <c r="M100" i="27" s="1"/>
  <c r="N99" i="27"/>
  <c r="O99" i="27" s="1"/>
  <c r="L99" i="27"/>
  <c r="M99" i="27" s="1"/>
  <c r="M19" i="27"/>
  <c r="N19" i="27" s="1"/>
  <c r="O19" i="27" s="1"/>
  <c r="L19" i="27"/>
  <c r="K19" i="27"/>
  <c r="M17" i="31"/>
  <c r="N17" i="31"/>
  <c r="O17" i="31" s="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6" i="31"/>
  <c r="M106" i="31"/>
  <c r="O105" i="31"/>
  <c r="M105" i="31"/>
  <c r="O104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O55" i="31" s="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L37" i="31"/>
  <c r="N36" i="31"/>
  <c r="L36" i="31"/>
  <c r="N35" i="3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N26" i="31"/>
  <c r="L26" i="31"/>
  <c r="N25" i="31"/>
  <c r="L25" i="31"/>
  <c r="N24" i="31"/>
  <c r="L24" i="31"/>
  <c r="N23" i="31"/>
  <c r="N22" i="31"/>
  <c r="C34" i="3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6" i="30"/>
  <c r="M106" i="30"/>
  <c r="O105" i="30"/>
  <c r="M105" i="30"/>
  <c r="O104" i="30"/>
  <c r="M104" i="30"/>
  <c r="O103" i="30"/>
  <c r="O99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L24" i="30"/>
  <c r="N23" i="30"/>
  <c r="L23" i="30"/>
  <c r="N22" i="30"/>
  <c r="N21" i="30"/>
  <c r="C17" i="30"/>
  <c r="C18" i="30" s="1"/>
  <c r="C19" i="30" s="1"/>
  <c r="C20" i="30" s="1"/>
  <c r="C21" i="30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O17" i="29" s="1"/>
  <c r="K17" i="29"/>
  <c r="L17" i="29"/>
  <c r="M17" i="28"/>
  <c r="N17" i="28"/>
  <c r="K17" i="28"/>
  <c r="L17" i="28" s="1"/>
  <c r="N102" i="25"/>
  <c r="O102" i="25"/>
  <c r="P102" i="25" s="1"/>
  <c r="L102" i="25"/>
  <c r="M102" i="25" s="1"/>
  <c r="M21" i="25"/>
  <c r="N21" i="25" s="1"/>
  <c r="K21" i="25"/>
  <c r="L21" i="25"/>
  <c r="N100" i="24"/>
  <c r="O100" i="24"/>
  <c r="L100" i="24"/>
  <c r="M100" i="24"/>
  <c r="M19" i="24"/>
  <c r="N19" i="24"/>
  <c r="K19" i="24"/>
  <c r="L19" i="24" s="1"/>
  <c r="N101" i="23"/>
  <c r="O101" i="23" s="1"/>
  <c r="P101" i="23" s="1"/>
  <c r="L101" i="23"/>
  <c r="M101" i="23"/>
  <c r="M20" i="23"/>
  <c r="N20" i="23"/>
  <c r="O20" i="23" s="1"/>
  <c r="K20" i="23"/>
  <c r="L20" i="23"/>
  <c r="N102" i="22"/>
  <c r="O102" i="22"/>
  <c r="P102" i="22" s="1"/>
  <c r="L102" i="22"/>
  <c r="M102" i="22" s="1"/>
  <c r="M21" i="22"/>
  <c r="N21" i="22" s="1"/>
  <c r="O21" i="22" s="1"/>
  <c r="K21" i="22"/>
  <c r="L21" i="22" s="1"/>
  <c r="N105" i="11"/>
  <c r="O105" i="11" s="1"/>
  <c r="P105" i="11"/>
  <c r="L105" i="11"/>
  <c r="M105" i="11"/>
  <c r="M24" i="11"/>
  <c r="K24" i="11"/>
  <c r="L24" i="11" s="1"/>
  <c r="N106" i="10"/>
  <c r="O106" i="10" s="1"/>
  <c r="P106" i="10" s="1"/>
  <c r="L106" i="10"/>
  <c r="M106" i="10" s="1"/>
  <c r="M25" i="10"/>
  <c r="N25" i="10"/>
  <c r="K25" i="10"/>
  <c r="L25" i="10" s="1"/>
  <c r="N105" i="9"/>
  <c r="O105" i="9"/>
  <c r="P105" i="9" s="1"/>
  <c r="L105" i="9"/>
  <c r="M105" i="9"/>
  <c r="M24" i="9"/>
  <c r="N24" i="9" s="1"/>
  <c r="K24" i="9"/>
  <c r="L24" i="9" s="1"/>
  <c r="N104" i="8"/>
  <c r="O104" i="8" s="1"/>
  <c r="P104" i="8" s="1"/>
  <c r="L104" i="8"/>
  <c r="M104" i="8" s="1"/>
  <c r="M23" i="8"/>
  <c r="N23" i="8" s="1"/>
  <c r="O23" i="8" s="1"/>
  <c r="K23" i="8"/>
  <c r="L23" i="8" s="1"/>
  <c r="N106" i="7"/>
  <c r="O106" i="7" s="1"/>
  <c r="L106" i="7"/>
  <c r="M106" i="7" s="1"/>
  <c r="M25" i="7"/>
  <c r="N25" i="7" s="1"/>
  <c r="O25" i="7" s="1"/>
  <c r="K25" i="7"/>
  <c r="L25" i="7"/>
  <c r="N104" i="6"/>
  <c r="O104" i="6"/>
  <c r="L104" i="6"/>
  <c r="M104" i="6" s="1"/>
  <c r="M23" i="6"/>
  <c r="N23" i="6" s="1"/>
  <c r="K23" i="6"/>
  <c r="L23" i="6" s="1"/>
  <c r="N103" i="5"/>
  <c r="O103" i="5" s="1"/>
  <c r="L103" i="5"/>
  <c r="M103" i="5"/>
  <c r="M22" i="5"/>
  <c r="N22" i="5" s="1"/>
  <c r="O22" i="5" s="1"/>
  <c r="K22" i="5"/>
  <c r="L22" i="5" s="1"/>
  <c r="N103" i="4"/>
  <c r="O103" i="4" s="1"/>
  <c r="P103" i="4" s="1"/>
  <c r="M103" i="4"/>
  <c r="L103" i="4"/>
  <c r="M22" i="4"/>
  <c r="N22" i="4"/>
  <c r="K22" i="4"/>
  <c r="L22" i="4" s="1"/>
  <c r="N103" i="3"/>
  <c r="O103" i="3"/>
  <c r="P103" i="3"/>
  <c r="L103" i="3"/>
  <c r="M103" i="3" s="1"/>
  <c r="M22" i="3"/>
  <c r="K22" i="3"/>
  <c r="L22" i="3" s="1"/>
  <c r="D8" i="13"/>
  <c r="D10" i="23"/>
  <c r="D92" i="23" s="1"/>
  <c r="P1" i="29"/>
  <c r="P83" i="29" s="1"/>
  <c r="P1" i="28"/>
  <c r="P83" i="28" s="1"/>
  <c r="P1" i="27"/>
  <c r="P83" i="27" s="1"/>
  <c r="D8" i="29"/>
  <c r="D90" i="29"/>
  <c r="D8" i="28"/>
  <c r="D90" i="28"/>
  <c r="D8" i="27"/>
  <c r="D90" i="27"/>
  <c r="D8" i="25"/>
  <c r="D8" i="24"/>
  <c r="D8" i="22"/>
  <c r="D8" i="11"/>
  <c r="D8" i="10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M112" i="29"/>
  <c r="O111" i="29"/>
  <c r="M111" i="29"/>
  <c r="O110" i="29"/>
  <c r="M110" i="29"/>
  <c r="O109" i="29"/>
  <c r="M109" i="29"/>
  <c r="O108" i="29"/>
  <c r="M108" i="29"/>
  <c r="O107" i="29"/>
  <c r="M107" i="29"/>
  <c r="O106" i="29"/>
  <c r="M106" i="29"/>
  <c r="O105" i="29"/>
  <c r="M105" i="29"/>
  <c r="O104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L25" i="29"/>
  <c r="N24" i="29"/>
  <c r="L24" i="29"/>
  <c r="N23" i="29"/>
  <c r="N22" i="29"/>
  <c r="C17" i="29"/>
  <c r="C18" i="29" s="1"/>
  <c r="C19" i="29" s="1"/>
  <c r="C20" i="29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7" i="28"/>
  <c r="M107" i="28"/>
  <c r="O106" i="28"/>
  <c r="M106" i="28"/>
  <c r="O105" i="28"/>
  <c r="M105" i="28"/>
  <c r="O104" i="28"/>
  <c r="D96" i="28"/>
  <c r="D94" i="28"/>
  <c r="L93" i="28"/>
  <c r="J93" i="28"/>
  <c r="C99" i="28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L25" i="28"/>
  <c r="N24" i="28"/>
  <c r="L24" i="28"/>
  <c r="N23" i="28"/>
  <c r="N22" i="28"/>
  <c r="C17" i="28"/>
  <c r="C18" i="28"/>
  <c r="C19" i="28"/>
  <c r="C20" i="28"/>
  <c r="C21" i="28" s="1"/>
  <c r="C22" i="28" s="1"/>
  <c r="C23" i="28" s="1"/>
  <c r="C24" i="28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/>
  <c r="K17" i="27"/>
  <c r="L17" i="27" s="1"/>
  <c r="O17" i="27" s="1"/>
  <c r="N101" i="25"/>
  <c r="O101" i="25"/>
  <c r="P101" i="25"/>
  <c r="L101" i="25"/>
  <c r="M101" i="25"/>
  <c r="N100" i="25"/>
  <c r="O100" i="25" s="1"/>
  <c r="L100" i="25"/>
  <c r="M100" i="25" s="1"/>
  <c r="N99" i="25"/>
  <c r="O99" i="25"/>
  <c r="L99" i="25"/>
  <c r="M99" i="25" s="1"/>
  <c r="M20" i="25"/>
  <c r="N20" i="25"/>
  <c r="O20" i="25" s="1"/>
  <c r="K20" i="25"/>
  <c r="L20" i="25"/>
  <c r="D92" i="24"/>
  <c r="N100" i="23"/>
  <c r="O100" i="23" s="1"/>
  <c r="L100" i="23"/>
  <c r="M100" i="23"/>
  <c r="M19" i="23"/>
  <c r="N19" i="23" s="1"/>
  <c r="K19" i="23"/>
  <c r="L19" i="23"/>
  <c r="N101" i="22"/>
  <c r="O101" i="22"/>
  <c r="L101" i="22"/>
  <c r="M101" i="22" s="1"/>
  <c r="M20" i="22"/>
  <c r="N20" i="22"/>
  <c r="K20" i="22"/>
  <c r="L20" i="22" s="1"/>
  <c r="N104" i="11"/>
  <c r="O104" i="11"/>
  <c r="L104" i="11"/>
  <c r="M104" i="11" s="1"/>
  <c r="M23" i="11"/>
  <c r="N23" i="11"/>
  <c r="K23" i="11"/>
  <c r="L23" i="11" s="1"/>
  <c r="N105" i="10"/>
  <c r="O105" i="10"/>
  <c r="L105" i="10"/>
  <c r="M105" i="10" s="1"/>
  <c r="M24" i="10"/>
  <c r="N24" i="10"/>
  <c r="K24" i="10"/>
  <c r="L24" i="10" s="1"/>
  <c r="N104" i="9"/>
  <c r="O104" i="9"/>
  <c r="P104" i="9" s="1"/>
  <c r="L104" i="9"/>
  <c r="M104" i="9"/>
  <c r="M23" i="9"/>
  <c r="N23" i="9" s="1"/>
  <c r="K23" i="9"/>
  <c r="L23" i="9"/>
  <c r="O23" i="9"/>
  <c r="N103" i="8"/>
  <c r="O103" i="8" s="1"/>
  <c r="L103" i="8"/>
  <c r="M103" i="8"/>
  <c r="M22" i="8"/>
  <c r="N22" i="8" s="1"/>
  <c r="O22" i="8" s="1"/>
  <c r="K22" i="8"/>
  <c r="L22" i="8" s="1"/>
  <c r="N105" i="7"/>
  <c r="O105" i="7"/>
  <c r="L105" i="7"/>
  <c r="M105" i="7" s="1"/>
  <c r="M24" i="7"/>
  <c r="N24" i="7"/>
  <c r="O24" i="7" s="1"/>
  <c r="K24" i="7"/>
  <c r="L24" i="7" s="1"/>
  <c r="N103" i="6"/>
  <c r="O103" i="6"/>
  <c r="L103" i="6"/>
  <c r="M103" i="6" s="1"/>
  <c r="M22" i="6"/>
  <c r="N22" i="6"/>
  <c r="K22" i="6"/>
  <c r="L22" i="6" s="1"/>
  <c r="M21" i="5"/>
  <c r="N21" i="5"/>
  <c r="O21" i="5" s="1"/>
  <c r="K21" i="5"/>
  <c r="L21" i="5" s="1"/>
  <c r="N102" i="4"/>
  <c r="O102" i="4" s="1"/>
  <c r="L102" i="4"/>
  <c r="M102" i="4"/>
  <c r="P102" i="4"/>
  <c r="M21" i="4"/>
  <c r="N21" i="4" s="1"/>
  <c r="K21" i="4"/>
  <c r="L21" i="4"/>
  <c r="N102" i="3"/>
  <c r="O102" i="3" s="1"/>
  <c r="L102" i="3"/>
  <c r="M102" i="3"/>
  <c r="M21" i="3"/>
  <c r="N21" i="3" s="1"/>
  <c r="O21" i="3" s="1"/>
  <c r="L21" i="3"/>
  <c r="K21" i="3"/>
  <c r="P86" i="6"/>
  <c r="O5" i="6"/>
  <c r="P87" i="6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/>
  <c r="M18" i="25"/>
  <c r="N18" i="25" s="1"/>
  <c r="K19" i="25"/>
  <c r="L19" i="25"/>
  <c r="K18" i="25"/>
  <c r="L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8" i="27"/>
  <c r="M108" i="27"/>
  <c r="O107" i="27"/>
  <c r="M107" i="27"/>
  <c r="O106" i="27"/>
  <c r="M106" i="27"/>
  <c r="O105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O33" i="27" s="1"/>
  <c r="N32" i="27"/>
  <c r="L32" i="27"/>
  <c r="N31" i="27"/>
  <c r="L31" i="27"/>
  <c r="N30" i="27"/>
  <c r="L30" i="27"/>
  <c r="N29" i="27"/>
  <c r="L29" i="27"/>
  <c r="N28" i="27"/>
  <c r="L28" i="27"/>
  <c r="N27" i="27"/>
  <c r="L27" i="27"/>
  <c r="N26" i="27"/>
  <c r="L26" i="27"/>
  <c r="N25" i="27"/>
  <c r="L25" i="27"/>
  <c r="N24" i="27"/>
  <c r="N23" i="27"/>
  <c r="C17" i="27"/>
  <c r="C18" i="27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/>
  <c r="C47" i="27" s="1"/>
  <c r="C48" i="27" s="1"/>
  <c r="C49" i="27" s="1"/>
  <c r="C50" i="27" s="1"/>
  <c r="K11" i="27"/>
  <c r="I11" i="27"/>
  <c r="M17" i="25"/>
  <c r="N17" i="25"/>
  <c r="O17" i="25" s="1"/>
  <c r="K17" i="25"/>
  <c r="L17" i="25" s="1"/>
  <c r="M17" i="24"/>
  <c r="N17" i="24" s="1"/>
  <c r="O17" i="24" s="1"/>
  <c r="K17" i="24"/>
  <c r="N99" i="23"/>
  <c r="L99" i="23"/>
  <c r="M18" i="23"/>
  <c r="N18" i="23"/>
  <c r="K18" i="23"/>
  <c r="N100" i="22"/>
  <c r="L100" i="22"/>
  <c r="M19" i="22"/>
  <c r="N19" i="22"/>
  <c r="K19" i="22"/>
  <c r="N103" i="11"/>
  <c r="L103" i="11"/>
  <c r="M103" i="11" s="1"/>
  <c r="M22" i="11"/>
  <c r="N22" i="11" s="1"/>
  <c r="K22" i="11"/>
  <c r="N104" i="10"/>
  <c r="L104" i="10"/>
  <c r="M23" i="10"/>
  <c r="N23" i="10"/>
  <c r="K23" i="10"/>
  <c r="N103" i="9"/>
  <c r="L103" i="9"/>
  <c r="M22" i="9"/>
  <c r="N22" i="9" s="1"/>
  <c r="K22" i="9"/>
  <c r="L22" i="9" s="1"/>
  <c r="N102" i="8"/>
  <c r="L102" i="8"/>
  <c r="M21" i="8"/>
  <c r="N21" i="8" s="1"/>
  <c r="K21" i="8"/>
  <c r="N104" i="7"/>
  <c r="O104" i="7" s="1"/>
  <c r="L104" i="7"/>
  <c r="M23" i="7"/>
  <c r="N23" i="7" s="1"/>
  <c r="K23" i="7"/>
  <c r="N102" i="6"/>
  <c r="L102" i="6"/>
  <c r="M21" i="6"/>
  <c r="N21" i="6"/>
  <c r="K21" i="6"/>
  <c r="N101" i="5"/>
  <c r="L101" i="5"/>
  <c r="M20" i="5"/>
  <c r="N20" i="5" s="1"/>
  <c r="K20" i="5"/>
  <c r="N101" i="4"/>
  <c r="L101" i="4"/>
  <c r="M20" i="4"/>
  <c r="N20" i="4" s="1"/>
  <c r="K20" i="4"/>
  <c r="N101" i="3"/>
  <c r="L101" i="3"/>
  <c r="M20" i="3"/>
  <c r="N20" i="3"/>
  <c r="K20" i="3"/>
  <c r="I10" i="45"/>
  <c r="F81" i="2"/>
  <c r="F87" i="2"/>
  <c r="F86" i="2"/>
  <c r="C17" i="3"/>
  <c r="C18" i="3" s="1"/>
  <c r="C19" i="3" s="1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/>
  <c r="C37" i="3" s="1"/>
  <c r="C38" i="3" s="1"/>
  <c r="C39" i="3" s="1"/>
  <c r="C40" i="3" s="1"/>
  <c r="C41" i="3" s="1"/>
  <c r="C42" i="3" s="1"/>
  <c r="C43" i="3" s="1"/>
  <c r="C44" i="3" s="1"/>
  <c r="K19" i="3"/>
  <c r="L19" i="3" s="1"/>
  <c r="P18" i="17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K19" i="4"/>
  <c r="P19" i="17"/>
  <c r="C17" i="5"/>
  <c r="C18" i="5" s="1"/>
  <c r="C19" i="5"/>
  <c r="C20" i="5" s="1"/>
  <c r="C21" i="5" s="1"/>
  <c r="C22" i="5" s="1"/>
  <c r="C23" i="5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K20" i="6"/>
  <c r="P21" i="17"/>
  <c r="C17" i="7"/>
  <c r="C18" i="7"/>
  <c r="C19" i="7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/>
  <c r="C20" i="8" s="1"/>
  <c r="C21" i="8" s="1"/>
  <c r="C22" i="8" s="1"/>
  <c r="C23" i="8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K20" i="8"/>
  <c r="P23" i="17"/>
  <c r="C17" i="9"/>
  <c r="C18" i="9"/>
  <c r="C19" i="9"/>
  <c r="C20" i="9" s="1"/>
  <c r="C21" i="9" s="1"/>
  <c r="C22" i="9" s="1"/>
  <c r="C23" i="9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/>
  <c r="P24" i="17"/>
  <c r="C17" i="10"/>
  <c r="C18" i="10"/>
  <c r="C19" i="10" s="1"/>
  <c r="C20" i="10" s="1"/>
  <c r="C21" i="10" s="1"/>
  <c r="C22" i="10"/>
  <c r="C23" i="10" s="1"/>
  <c r="C24" i="10" s="1"/>
  <c r="C25" i="10" s="1"/>
  <c r="C26" i="10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P25" i="17"/>
  <c r="C17" i="11"/>
  <c r="C18" i="11" s="1"/>
  <c r="C19" i="11" s="1"/>
  <c r="C20" i="11"/>
  <c r="C21" i="11" s="1"/>
  <c r="C22" i="11" s="1"/>
  <c r="C23" i="11" s="1"/>
  <c r="C24" i="1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M19" i="4"/>
  <c r="M19" i="5"/>
  <c r="M20" i="6"/>
  <c r="M22" i="7"/>
  <c r="M20" i="8"/>
  <c r="M21" i="9"/>
  <c r="N21" i="9" s="1"/>
  <c r="O21" i="9" s="1"/>
  <c r="M22" i="10"/>
  <c r="M21" i="11"/>
  <c r="M18" i="22"/>
  <c r="N18" i="22"/>
  <c r="M17" i="23"/>
  <c r="N17" i="23" s="1"/>
  <c r="O17" i="23" s="1"/>
  <c r="F81" i="1"/>
  <c r="F86" i="1"/>
  <c r="F90" i="1"/>
  <c r="P1" i="25"/>
  <c r="P83" i="25" s="1"/>
  <c r="I11" i="25"/>
  <c r="K11" i="25"/>
  <c r="N27" i="25"/>
  <c r="L28" i="25"/>
  <c r="N28" i="25"/>
  <c r="L29" i="25"/>
  <c r="N29" i="25"/>
  <c r="L30" i="25"/>
  <c r="N30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L72" i="25"/>
  <c r="N72" i="25"/>
  <c r="D89" i="25"/>
  <c r="D90" i="25"/>
  <c r="D91" i="25"/>
  <c r="J93" i="25"/>
  <c r="L93" i="25"/>
  <c r="D96" i="25"/>
  <c r="M109" i="25"/>
  <c r="O109" i="25"/>
  <c r="M110" i="25"/>
  <c r="O110" i="25"/>
  <c r="M111" i="25"/>
  <c r="O111" i="25"/>
  <c r="M112" i="25"/>
  <c r="O112" i="25"/>
  <c r="M113" i="25"/>
  <c r="O113" i="25"/>
  <c r="M114" i="25"/>
  <c r="O114" i="25"/>
  <c r="M115" i="25"/>
  <c r="O115" i="25"/>
  <c r="M116" i="25"/>
  <c r="O116" i="25"/>
  <c r="M117" i="25"/>
  <c r="O117" i="25"/>
  <c r="M118" i="25"/>
  <c r="O118" i="25"/>
  <c r="M119" i="25"/>
  <c r="O119" i="25"/>
  <c r="M120" i="25"/>
  <c r="O120" i="25"/>
  <c r="M121" i="25"/>
  <c r="O121" i="25"/>
  <c r="M122" i="25"/>
  <c r="O122" i="25"/>
  <c r="M123" i="25"/>
  <c r="O123" i="25"/>
  <c r="M124" i="25"/>
  <c r="O124" i="25"/>
  <c r="M125" i="25"/>
  <c r="O125" i="25"/>
  <c r="M126" i="25"/>
  <c r="O126" i="25"/>
  <c r="M127" i="25"/>
  <c r="O127" i="25"/>
  <c r="M128" i="25"/>
  <c r="O128" i="25"/>
  <c r="M129" i="25"/>
  <c r="O129" i="25"/>
  <c r="M130" i="25"/>
  <c r="O130" i="25"/>
  <c r="M131" i="25"/>
  <c r="O131" i="25"/>
  <c r="P131" i="25"/>
  <c r="M132" i="25"/>
  <c r="O132" i="25"/>
  <c r="P132" i="25"/>
  <c r="M133" i="25"/>
  <c r="O133" i="25"/>
  <c r="P133" i="25"/>
  <c r="M134" i="25"/>
  <c r="O134" i="25"/>
  <c r="P134" i="25"/>
  <c r="M135" i="25"/>
  <c r="O135" i="25"/>
  <c r="P135" i="25"/>
  <c r="M136" i="25"/>
  <c r="O136" i="25"/>
  <c r="P136" i="25"/>
  <c r="M137" i="25"/>
  <c r="O137" i="25"/>
  <c r="P137" i="25"/>
  <c r="M138" i="25"/>
  <c r="O138" i="25"/>
  <c r="P138" i="25"/>
  <c r="M139" i="25"/>
  <c r="O139" i="25"/>
  <c r="P139" i="25"/>
  <c r="M140" i="25"/>
  <c r="O140" i="25"/>
  <c r="P140" i="25"/>
  <c r="M141" i="25"/>
  <c r="O141" i="25"/>
  <c r="P141" i="25"/>
  <c r="M142" i="25"/>
  <c r="O142" i="25"/>
  <c r="P142" i="25"/>
  <c r="M143" i="25"/>
  <c r="O143" i="25"/>
  <c r="P143" i="25"/>
  <c r="M144" i="25"/>
  <c r="O144" i="25"/>
  <c r="P144" i="25"/>
  <c r="M145" i="25"/>
  <c r="O145" i="25"/>
  <c r="P145" i="25"/>
  <c r="M146" i="25"/>
  <c r="O146" i="25"/>
  <c r="P146" i="25"/>
  <c r="M147" i="25"/>
  <c r="O147" i="25"/>
  <c r="P147" i="25"/>
  <c r="M148" i="25"/>
  <c r="O148" i="25"/>
  <c r="P148" i="25"/>
  <c r="M149" i="25"/>
  <c r="O149" i="25"/>
  <c r="P149" i="25"/>
  <c r="M150" i="25"/>
  <c r="O150" i="25"/>
  <c r="P150" i="25"/>
  <c r="M151" i="25"/>
  <c r="O151" i="25"/>
  <c r="P151" i="25"/>
  <c r="M152" i="25"/>
  <c r="O152" i="25"/>
  <c r="P152" i="25"/>
  <c r="M153" i="25"/>
  <c r="O153" i="25"/>
  <c r="P153" i="25"/>
  <c r="M154" i="25"/>
  <c r="O154" i="25"/>
  <c r="P154" i="25"/>
  <c r="N99" i="22"/>
  <c r="L99" i="22"/>
  <c r="N102" i="11"/>
  <c r="L102" i="11"/>
  <c r="M102" i="11" s="1"/>
  <c r="N103" i="10"/>
  <c r="L103" i="10"/>
  <c r="N102" i="9"/>
  <c r="L102" i="9"/>
  <c r="M102" i="9" s="1"/>
  <c r="N101" i="8"/>
  <c r="L101" i="8"/>
  <c r="M101" i="8" s="1"/>
  <c r="N103" i="7"/>
  <c r="L103" i="7"/>
  <c r="M103" i="7" s="1"/>
  <c r="N101" i="6"/>
  <c r="L101" i="6"/>
  <c r="N100" i="5"/>
  <c r="L100" i="5"/>
  <c r="N100" i="4"/>
  <c r="L100" i="4"/>
  <c r="P1" i="24"/>
  <c r="P83" i="24" s="1"/>
  <c r="I11" i="24"/>
  <c r="K11" i="24"/>
  <c r="L17" i="24"/>
  <c r="N25" i="24"/>
  <c r="L26" i="24"/>
  <c r="N26" i="24"/>
  <c r="L27" i="24"/>
  <c r="N27" i="24"/>
  <c r="L28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0" i="24"/>
  <c r="D91" i="24"/>
  <c r="J93" i="24"/>
  <c r="L93" i="24"/>
  <c r="D96" i="24"/>
  <c r="O106" i="24"/>
  <c r="M107" i="24"/>
  <c r="O107" i="24"/>
  <c r="M108" i="24"/>
  <c r="O108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N18" i="3" s="1"/>
  <c r="O18" i="3" s="1"/>
  <c r="D10" i="3"/>
  <c r="K21" i="10"/>
  <c r="K18" i="3"/>
  <c r="K18" i="4"/>
  <c r="K18" i="5"/>
  <c r="K19" i="6"/>
  <c r="L19" i="6" s="1"/>
  <c r="K21" i="7"/>
  <c r="K19" i="8"/>
  <c r="L19" i="8" s="1"/>
  <c r="K20" i="9"/>
  <c r="L20" i="9" s="1"/>
  <c r="K20" i="11"/>
  <c r="K17" i="22"/>
  <c r="L17" i="22" s="1"/>
  <c r="W28" i="17"/>
  <c r="B19" i="23"/>
  <c r="I17" i="23"/>
  <c r="P1" i="23"/>
  <c r="P83" i="23" s="1"/>
  <c r="I11" i="23"/>
  <c r="K11" i="23"/>
  <c r="L17" i="23"/>
  <c r="B18" i="23"/>
  <c r="L18" i="23"/>
  <c r="N26" i="23"/>
  <c r="L27" i="23"/>
  <c r="N27" i="23"/>
  <c r="L28" i="23"/>
  <c r="N28" i="23"/>
  <c r="L29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M99" i="23"/>
  <c r="O99" i="23"/>
  <c r="O107" i="23"/>
  <c r="M108" i="23"/>
  <c r="O108" i="23"/>
  <c r="M109" i="23"/>
  <c r="O109" i="23"/>
  <c r="M110" i="23"/>
  <c r="O110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/>
  <c r="N101" i="11"/>
  <c r="O101" i="11" s="1"/>
  <c r="L101" i="11"/>
  <c r="M20" i="11"/>
  <c r="M21" i="10"/>
  <c r="N21" i="10"/>
  <c r="N102" i="10"/>
  <c r="L102" i="10"/>
  <c r="M20" i="9"/>
  <c r="N20" i="9"/>
  <c r="O20" i="9" s="1"/>
  <c r="N101" i="9"/>
  <c r="L101" i="9"/>
  <c r="N100" i="8"/>
  <c r="O100" i="8" s="1"/>
  <c r="L100" i="8"/>
  <c r="M100" i="8" s="1"/>
  <c r="M19" i="8"/>
  <c r="N102" i="7"/>
  <c r="L102" i="7"/>
  <c r="M102" i="7" s="1"/>
  <c r="M21" i="7"/>
  <c r="N100" i="6"/>
  <c r="O100" i="6" s="1"/>
  <c r="L100" i="6"/>
  <c r="M19" i="6"/>
  <c r="N99" i="5"/>
  <c r="L99" i="5"/>
  <c r="M99" i="5" s="1"/>
  <c r="M18" i="5"/>
  <c r="N99" i="4"/>
  <c r="L99" i="4"/>
  <c r="M18" i="4"/>
  <c r="N18" i="4" s="1"/>
  <c r="N99" i="3"/>
  <c r="L99" i="3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D90" i="10"/>
  <c r="D90" i="11"/>
  <c r="D90" i="22"/>
  <c r="D90" i="13"/>
  <c r="W27" i="17"/>
  <c r="N99" i="6"/>
  <c r="O99" i="6" s="1"/>
  <c r="P99" i="6" s="1"/>
  <c r="P1" i="22"/>
  <c r="P83" i="22" s="1"/>
  <c r="I11" i="22"/>
  <c r="K11" i="22"/>
  <c r="I17" i="22"/>
  <c r="I18" i="22"/>
  <c r="L18" i="22"/>
  <c r="L19" i="22"/>
  <c r="N27" i="22"/>
  <c r="L28" i="22"/>
  <c r="N28" i="22"/>
  <c r="L29" i="22"/>
  <c r="N29" i="22"/>
  <c r="L30" i="22"/>
  <c r="N30" i="22"/>
  <c r="L31" i="22"/>
  <c r="N31" i="22"/>
  <c r="O31" i="22" s="1"/>
  <c r="L32" i="22"/>
  <c r="N32" i="22"/>
  <c r="L33" i="22"/>
  <c r="N33" i="22"/>
  <c r="L34" i="22"/>
  <c r="N34" i="22"/>
  <c r="L35" i="22"/>
  <c r="N35" i="22"/>
  <c r="L36" i="22"/>
  <c r="N36" i="22"/>
  <c r="L37" i="22"/>
  <c r="N37" i="22"/>
  <c r="O37" i="22" s="1"/>
  <c r="L38" i="22"/>
  <c r="N38" i="22"/>
  <c r="L39" i="22"/>
  <c r="N39" i="22"/>
  <c r="L40" i="22"/>
  <c r="N40" i="22"/>
  <c r="L41" i="22"/>
  <c r="N41" i="22"/>
  <c r="L42" i="22"/>
  <c r="N42" i="22"/>
  <c r="L43" i="22"/>
  <c r="N43" i="22"/>
  <c r="O43" i="22" s="1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M99" i="22"/>
  <c r="O99" i="22"/>
  <c r="M100" i="22"/>
  <c r="O100" i="22"/>
  <c r="O108" i="22"/>
  <c r="M109" i="22"/>
  <c r="O109" i="22"/>
  <c r="M110" i="22"/>
  <c r="O110" i="22"/>
  <c r="M111" i="22"/>
  <c r="O111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R12" i="17" s="1"/>
  <c r="W26" i="17"/>
  <c r="W25" i="17"/>
  <c r="W24" i="17"/>
  <c r="W23" i="17"/>
  <c r="W22" i="17"/>
  <c r="W21" i="17"/>
  <c r="W20" i="17"/>
  <c r="W19" i="17"/>
  <c r="W18" i="17"/>
  <c r="G12" i="17"/>
  <c r="T12" i="17" s="1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L44" i="13"/>
  <c r="N44" i="13"/>
  <c r="L45" i="13"/>
  <c r="N45" i="13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L59" i="13"/>
  <c r="N59" i="13"/>
  <c r="L60" i="13"/>
  <c r="N60" i="13"/>
  <c r="L61" i="13"/>
  <c r="N61" i="13"/>
  <c r="L62" i="13"/>
  <c r="N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O17" i="11" s="1"/>
  <c r="I18" i="11"/>
  <c r="L18" i="11"/>
  <c r="N18" i="11"/>
  <c r="I19" i="11"/>
  <c r="L19" i="11"/>
  <c r="N19" i="11"/>
  <c r="I20" i="11"/>
  <c r="L20" i="11"/>
  <c r="N20" i="11"/>
  <c r="I21" i="11"/>
  <c r="N21" i="11"/>
  <c r="L22" i="11"/>
  <c r="N30" i="11"/>
  <c r="L31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J101" i="11"/>
  <c r="M101" i="11"/>
  <c r="J102" i="11"/>
  <c r="O102" i="11"/>
  <c r="O103" i="11"/>
  <c r="O111" i="11"/>
  <c r="M112" i="11"/>
  <c r="O112" i="11"/>
  <c r="M113" i="11"/>
  <c r="O113" i="11"/>
  <c r="M114" i="11"/>
  <c r="O114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O17" i="10" s="1"/>
  <c r="N17" i="10"/>
  <c r="I18" i="10"/>
  <c r="L18" i="10"/>
  <c r="O18" i="10" s="1"/>
  <c r="N18" i="10"/>
  <c r="I19" i="10"/>
  <c r="L19" i="10"/>
  <c r="O19" i="10" s="1"/>
  <c r="N19" i="10"/>
  <c r="I20" i="10"/>
  <c r="L20" i="10"/>
  <c r="O20" i="10" s="1"/>
  <c r="N20" i="10"/>
  <c r="I21" i="10"/>
  <c r="L21" i="10"/>
  <c r="I22" i="10"/>
  <c r="L22" i="10"/>
  <c r="N22" i="10"/>
  <c r="O22" i="10" s="1"/>
  <c r="L23" i="10"/>
  <c r="N31" i="10"/>
  <c r="L32" i="10"/>
  <c r="N32" i="10"/>
  <c r="L33" i="10"/>
  <c r="N33" i="10"/>
  <c r="L34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P101" i="10" s="1"/>
  <c r="J102" i="10"/>
  <c r="M102" i="10"/>
  <c r="O102" i="10"/>
  <c r="J103" i="10"/>
  <c r="M103" i="10"/>
  <c r="O103" i="10"/>
  <c r="M104" i="10"/>
  <c r="O104" i="10"/>
  <c r="O112" i="10"/>
  <c r="M113" i="10"/>
  <c r="O113" i="10"/>
  <c r="M114" i="10"/>
  <c r="O114" i="10"/>
  <c r="M115" i="10"/>
  <c r="O115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O17" i="9"/>
  <c r="I18" i="9"/>
  <c r="L18" i="9"/>
  <c r="N18" i="9"/>
  <c r="O18" i="9"/>
  <c r="I19" i="9"/>
  <c r="L19" i="9"/>
  <c r="N19" i="9"/>
  <c r="O19" i="9"/>
  <c r="I21" i="9"/>
  <c r="N30" i="9"/>
  <c r="L31" i="9"/>
  <c r="N31" i="9"/>
  <c r="L32" i="9"/>
  <c r="N32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M101" i="9"/>
  <c r="O101" i="9"/>
  <c r="P101" i="9" s="1"/>
  <c r="J102" i="9"/>
  <c r="O102" i="9"/>
  <c r="P102" i="9" s="1"/>
  <c r="M103" i="9"/>
  <c r="O103" i="9"/>
  <c r="P103" i="9" s="1"/>
  <c r="O111" i="9"/>
  <c r="M112" i="9"/>
  <c r="O112" i="9"/>
  <c r="M113" i="9"/>
  <c r="O113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O17" i="8" s="1"/>
  <c r="N17" i="8"/>
  <c r="I18" i="8"/>
  <c r="L18" i="8"/>
  <c r="N18" i="8"/>
  <c r="O18" i="8" s="1"/>
  <c r="I19" i="8"/>
  <c r="N19" i="8"/>
  <c r="I20" i="8"/>
  <c r="L20" i="8"/>
  <c r="N20" i="8"/>
  <c r="O20" i="8" s="1"/>
  <c r="L21" i="8"/>
  <c r="N29" i="8"/>
  <c r="L30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C53" i="8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/>
  <c r="C66" i="8" s="1"/>
  <c r="C67" i="8" s="1"/>
  <c r="C68" i="8" s="1"/>
  <c r="C69" i="8" s="1"/>
  <c r="C70" i="8" s="1"/>
  <c r="C71" i="8" s="1"/>
  <c r="C72" i="8" s="1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P99" i="8" s="1"/>
  <c r="O99" i="8"/>
  <c r="J100" i="8"/>
  <c r="J101" i="8"/>
  <c r="O101" i="8"/>
  <c r="P101" i="8" s="1"/>
  <c r="M102" i="8"/>
  <c r="O102" i="8"/>
  <c r="P102" i="8" s="1"/>
  <c r="O110" i="8"/>
  <c r="M111" i="8"/>
  <c r="O111" i="8"/>
  <c r="M112" i="8"/>
  <c r="O112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O17" i="7" s="1"/>
  <c r="I18" i="7"/>
  <c r="N18" i="7"/>
  <c r="I19" i="7"/>
  <c r="L19" i="7"/>
  <c r="N19" i="7"/>
  <c r="I20" i="7"/>
  <c r="L20" i="7"/>
  <c r="N20" i="7"/>
  <c r="I21" i="7"/>
  <c r="L21" i="7"/>
  <c r="N21" i="7"/>
  <c r="O21" i="7" s="1"/>
  <c r="I22" i="7"/>
  <c r="N22" i="7"/>
  <c r="L23" i="7"/>
  <c r="N31" i="7"/>
  <c r="L32" i="7"/>
  <c r="N32" i="7"/>
  <c r="L33" i="7"/>
  <c r="N33" i="7"/>
  <c r="L34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L54" i="7"/>
  <c r="N54" i="7"/>
  <c r="L55" i="7"/>
  <c r="N55" i="7"/>
  <c r="L56" i="7"/>
  <c r="N56" i="7"/>
  <c r="L57" i="7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P100" i="7" s="1"/>
  <c r="J101" i="7"/>
  <c r="O101" i="7"/>
  <c r="P101" i="7" s="1"/>
  <c r="J102" i="7"/>
  <c r="O102" i="7"/>
  <c r="P102" i="7" s="1"/>
  <c r="J103" i="7"/>
  <c r="O103" i="7"/>
  <c r="P103" i="7" s="1"/>
  <c r="M104" i="7"/>
  <c r="O112" i="7"/>
  <c r="M113" i="7"/>
  <c r="O113" i="7"/>
  <c r="M114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O17" i="6" s="1"/>
  <c r="I18" i="6"/>
  <c r="L18" i="6"/>
  <c r="N18" i="6"/>
  <c r="O18" i="6" s="1"/>
  <c r="N19" i="6"/>
  <c r="O19" i="6" s="1"/>
  <c r="L20" i="6"/>
  <c r="N20" i="6"/>
  <c r="O20" i="6" s="1"/>
  <c r="L21" i="6"/>
  <c r="N29" i="6"/>
  <c r="L30" i="6"/>
  <c r="N30" i="6"/>
  <c r="L31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C61" i="6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M100" i="6"/>
  <c r="J101" i="6"/>
  <c r="M101" i="6"/>
  <c r="O101" i="6"/>
  <c r="P101" i="6" s="1"/>
  <c r="M102" i="6"/>
  <c r="O102" i="6"/>
  <c r="P102" i="6"/>
  <c r="O110" i="6"/>
  <c r="M111" i="6"/>
  <c r="O111" i="6"/>
  <c r="M112" i="6"/>
  <c r="O112" i="6"/>
  <c r="M113" i="6"/>
  <c r="O113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O17" i="5" s="1"/>
  <c r="I18" i="5"/>
  <c r="L18" i="5"/>
  <c r="N18" i="5"/>
  <c r="O18" i="5" s="1"/>
  <c r="I19" i="5"/>
  <c r="L19" i="5"/>
  <c r="N19" i="5"/>
  <c r="O19" i="5" s="1"/>
  <c r="L20" i="5"/>
  <c r="N28" i="5"/>
  <c r="L29" i="5"/>
  <c r="N29" i="5"/>
  <c r="L30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O99" i="5"/>
  <c r="J100" i="5"/>
  <c r="M100" i="5"/>
  <c r="O100" i="5"/>
  <c r="M101" i="5"/>
  <c r="O101" i="5"/>
  <c r="P101" i="5"/>
  <c r="O109" i="5"/>
  <c r="M110" i="5"/>
  <c r="O110" i="5"/>
  <c r="M111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K11" i="4"/>
  <c r="I17" i="4"/>
  <c r="L17" i="4"/>
  <c r="N17" i="4"/>
  <c r="I18" i="4"/>
  <c r="L18" i="4"/>
  <c r="O18" i="4"/>
  <c r="I19" i="4"/>
  <c r="L19" i="4"/>
  <c r="N19" i="4"/>
  <c r="O19" i="4"/>
  <c r="L20" i="4"/>
  <c r="L29" i="4"/>
  <c r="N29" i="4"/>
  <c r="L30" i="4"/>
  <c r="N30" i="4"/>
  <c r="L31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M99" i="4"/>
  <c r="O99" i="4"/>
  <c r="J100" i="4"/>
  <c r="M100" i="4"/>
  <c r="O100" i="4"/>
  <c r="P100" i="4" s="1"/>
  <c r="M101" i="4"/>
  <c r="O101" i="4"/>
  <c r="P101" i="4"/>
  <c r="O105" i="4"/>
  <c r="P105" i="4"/>
  <c r="O109" i="4"/>
  <c r="M110" i="4"/>
  <c r="O110" i="4"/>
  <c r="M111" i="4"/>
  <c r="O111" i="4"/>
  <c r="M112" i="4"/>
  <c r="O112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O17" i="3" s="1"/>
  <c r="L18" i="3"/>
  <c r="N19" i="3"/>
  <c r="L20" i="3"/>
  <c r="N28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M99" i="3"/>
  <c r="P99" i="3" s="1"/>
  <c r="O99" i="3"/>
  <c r="J100" i="3"/>
  <c r="M100" i="3"/>
  <c r="O100" i="3"/>
  <c r="P100" i="3" s="1"/>
  <c r="M101" i="3"/>
  <c r="O101" i="3"/>
  <c r="P101" i="3"/>
  <c r="O109" i="3"/>
  <c r="M110" i="3"/>
  <c r="O110" i="3"/>
  <c r="M111" i="3"/>
  <c r="O111" i="3"/>
  <c r="M112" i="3"/>
  <c r="O112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F14" i="2" s="1"/>
  <c r="E19" i="2" s="1"/>
  <c r="D17" i="2"/>
  <c r="F17" i="2" s="1"/>
  <c r="E17" i="2"/>
  <c r="D18" i="2"/>
  <c r="E18" i="2"/>
  <c r="F18" i="2" s="1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F17" i="1" s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D8" i="3"/>
  <c r="D90" i="3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C51" i="27"/>
  <c r="C52" i="27" s="1"/>
  <c r="C53" i="27" s="1"/>
  <c r="C54" i="27" s="1"/>
  <c r="C55" i="27"/>
  <c r="C56" i="27" s="1"/>
  <c r="C57" i="27" s="1"/>
  <c r="C58" i="27" s="1"/>
  <c r="C59" i="27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B18" i="25"/>
  <c r="P99" i="23"/>
  <c r="O18" i="23"/>
  <c r="P100" i="22"/>
  <c r="B104" i="11"/>
  <c r="P104" i="10"/>
  <c r="B24" i="10"/>
  <c r="B104" i="9"/>
  <c r="B23" i="9"/>
  <c r="B102" i="5"/>
  <c r="O20" i="5"/>
  <c r="O20" i="4"/>
  <c r="B102" i="3"/>
  <c r="B21" i="3"/>
  <c r="O19" i="25"/>
  <c r="O18" i="25"/>
  <c r="B19" i="25"/>
  <c r="B20" i="25"/>
  <c r="C48" i="25"/>
  <c r="C49" i="25" s="1"/>
  <c r="C50" i="25" s="1"/>
  <c r="C51" i="25" s="1"/>
  <c r="C52" i="25"/>
  <c r="C53" i="25" s="1"/>
  <c r="C54" i="25" s="1"/>
  <c r="C55" i="25" s="1"/>
  <c r="C56" i="25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I18" i="25"/>
  <c r="C99" i="27"/>
  <c r="C100" i="27"/>
  <c r="C101" i="27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/>
  <c r="B18" i="24"/>
  <c r="P102" i="5"/>
  <c r="C47" i="29"/>
  <c r="C48" i="29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100" i="28"/>
  <c r="C101" i="28" s="1"/>
  <c r="C102" i="28" s="1"/>
  <c r="C103" i="28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C99" i="24"/>
  <c r="P100" i="23"/>
  <c r="P101" i="22"/>
  <c r="O20" i="22"/>
  <c r="P104" i="11"/>
  <c r="P105" i="10"/>
  <c r="O24" i="10"/>
  <c r="B25" i="10"/>
  <c r="B24" i="9"/>
  <c r="P103" i="8"/>
  <c r="B23" i="8"/>
  <c r="P105" i="7"/>
  <c r="B104" i="6"/>
  <c r="O22" i="6"/>
  <c r="B22" i="5"/>
  <c r="O21" i="4"/>
  <c r="P102" i="3"/>
  <c r="M18" i="24"/>
  <c r="N18" i="24" s="1"/>
  <c r="B100" i="24"/>
  <c r="N99" i="24"/>
  <c r="O99" i="24" s="1"/>
  <c r="P99" i="24" s="1"/>
  <c r="L99" i="24"/>
  <c r="M99" i="24"/>
  <c r="J99" i="24"/>
  <c r="D8" i="23"/>
  <c r="D90" i="23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/>
  <c r="B107" i="10"/>
  <c r="B26" i="10"/>
  <c r="B24" i="8"/>
  <c r="B107" i="7"/>
  <c r="B26" i="7"/>
  <c r="B24" i="6"/>
  <c r="B104" i="4"/>
  <c r="N22" i="3"/>
  <c r="O22" i="3" s="1"/>
  <c r="C54" i="31"/>
  <c r="C55" i="31"/>
  <c r="C56" i="3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O18" i="31"/>
  <c r="P99" i="29"/>
  <c r="B100" i="29"/>
  <c r="B19" i="29"/>
  <c r="O18" i="28"/>
  <c r="O22" i="25"/>
  <c r="P101" i="24"/>
  <c r="O21" i="23"/>
  <c r="P102" i="23"/>
  <c r="P103" i="22"/>
  <c r="O22" i="22"/>
  <c r="P106" i="11"/>
  <c r="O25" i="11"/>
  <c r="B108" i="10"/>
  <c r="P107" i="10"/>
  <c r="O26" i="10"/>
  <c r="O25" i="9"/>
  <c r="B26" i="9"/>
  <c r="P105" i="8"/>
  <c r="P107" i="7"/>
  <c r="O26" i="7"/>
  <c r="B27" i="7"/>
  <c r="P105" i="6"/>
  <c r="B106" i="6"/>
  <c r="O24" i="6"/>
  <c r="P104" i="5"/>
  <c r="O23" i="5"/>
  <c r="P104" i="4"/>
  <c r="O23" i="4"/>
  <c r="B24" i="4"/>
  <c r="B105" i="3"/>
  <c r="K18" i="27"/>
  <c r="B103" i="23"/>
  <c r="B100" i="27"/>
  <c r="B19" i="27"/>
  <c r="L18" i="27"/>
  <c r="I18" i="27"/>
  <c r="M18" i="27"/>
  <c r="N18" i="27"/>
  <c r="O18" i="27"/>
  <c r="I19" i="27"/>
  <c r="B101" i="27"/>
  <c r="J100" i="27"/>
  <c r="B100" i="28"/>
  <c r="B18" i="30"/>
  <c r="P99" i="31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O24" i="8"/>
  <c r="B28" i="7"/>
  <c r="P99" i="30"/>
  <c r="C99" i="13"/>
  <c r="C100" i="13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D18" i="1"/>
  <c r="C12" i="1"/>
  <c r="D19" i="1"/>
  <c r="B29" i="10"/>
  <c r="I12" i="37"/>
  <c r="I13" i="37" s="1"/>
  <c r="I12" i="24"/>
  <c r="I24" i="25"/>
  <c r="I12" i="40"/>
  <c r="I13" i="40" s="1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C18" i="13"/>
  <c r="C19" i="13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18" i="41"/>
  <c r="C19" i="41"/>
  <c r="C20" i="41" s="1"/>
  <c r="C21" i="41" s="1"/>
  <c r="C22" i="41" s="1"/>
  <c r="C23" i="41"/>
  <c r="C24" i="41" s="1"/>
  <c r="C25" i="41" s="1"/>
  <c r="C26" i="41" s="1"/>
  <c r="C27" i="4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B18" i="39"/>
  <c r="B18" i="37"/>
  <c r="P100" i="30"/>
  <c r="B103" i="27"/>
  <c r="B25" i="25"/>
  <c r="O24" i="25"/>
  <c r="B25" i="22"/>
  <c r="B28" i="11"/>
  <c r="B109" i="9"/>
  <c r="B107" i="5"/>
  <c r="A2" i="2"/>
  <c r="I10" i="7"/>
  <c r="I10" i="25"/>
  <c r="D93" i="25" s="1"/>
  <c r="C99" i="25" s="1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I10" i="31"/>
  <c r="D94" i="31" s="1"/>
  <c r="C18" i="42"/>
  <c r="C19" i="42" s="1"/>
  <c r="C20" i="42" s="1"/>
  <c r="C21" i="42" s="1"/>
  <c r="C22" i="42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/>
  <c r="C39" i="42" s="1"/>
  <c r="C40" i="42" s="1"/>
  <c r="C41" i="42" s="1"/>
  <c r="C42" i="42" s="1"/>
  <c r="C43" i="42" s="1"/>
  <c r="C44" i="42" s="1"/>
  <c r="C100" i="42"/>
  <c r="C101" i="42"/>
  <c r="C102" i="42" s="1"/>
  <c r="C103" i="42" s="1"/>
  <c r="C104" i="42" s="1"/>
  <c r="C105" i="42"/>
  <c r="C106" i="42" s="1"/>
  <c r="C107" i="42" s="1"/>
  <c r="C108" i="42" s="1"/>
  <c r="C109" i="42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00" i="41"/>
  <c r="C101" i="41"/>
  <c r="C102" i="41"/>
  <c r="C103" i="41" s="1"/>
  <c r="C104" i="41" s="1"/>
  <c r="C105" i="41" s="1"/>
  <c r="C106" i="41"/>
  <c r="C107" i="41" s="1"/>
  <c r="C108" i="41" s="1"/>
  <c r="C109" i="41" s="1"/>
  <c r="C110" i="4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B110" i="7"/>
  <c r="J109" i="7"/>
  <c r="J106" i="5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27"/>
  <c r="I10" i="8"/>
  <c r="I10" i="41"/>
  <c r="I10" i="22"/>
  <c r="D94" i="22" s="1"/>
  <c r="I10" i="6"/>
  <c r="D93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I10" i="37"/>
  <c r="D93" i="37" s="1"/>
  <c r="C99" i="37" s="1"/>
  <c r="C100" i="37" s="1"/>
  <c r="C101" i="37" s="1"/>
  <c r="C102" i="37" s="1"/>
  <c r="C103" i="37" s="1"/>
  <c r="C104" i="37" s="1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I10" i="38"/>
  <c r="I10" i="30"/>
  <c r="D93" i="30" s="1"/>
  <c r="C99" i="30" s="1"/>
  <c r="I10" i="9"/>
  <c r="I10" i="13"/>
  <c r="B108" i="6"/>
  <c r="B21" i="31"/>
  <c r="I20" i="31"/>
  <c r="J101" i="31"/>
  <c r="B102" i="31"/>
  <c r="J92" i="41"/>
  <c r="L86" i="41" s="1"/>
  <c r="C76" i="2"/>
  <c r="C61" i="2"/>
  <c r="J94" i="31"/>
  <c r="J95" i="31" s="1"/>
  <c r="J94" i="22"/>
  <c r="J95" i="22" s="1"/>
  <c r="J94" i="37"/>
  <c r="J95" i="37" s="1"/>
  <c r="J94" i="5"/>
  <c r="J95" i="5" s="1"/>
  <c r="J94" i="23"/>
  <c r="J95" i="23" s="1"/>
  <c r="J94" i="41"/>
  <c r="J95" i="41" s="1"/>
  <c r="J94" i="24"/>
  <c r="J95" i="24" s="1"/>
  <c r="J94" i="10"/>
  <c r="J95" i="10" s="1"/>
  <c r="J94" i="29"/>
  <c r="J95" i="29" s="1"/>
  <c r="J94" i="39"/>
  <c r="J95" i="39" s="1"/>
  <c r="J94" i="42"/>
  <c r="J95" i="42" s="1"/>
  <c r="J94" i="40"/>
  <c r="J95" i="40" s="1"/>
  <c r="C59" i="1"/>
  <c r="C77" i="1"/>
  <c r="D92" i="13"/>
  <c r="E99" i="13" s="1"/>
  <c r="F99" i="13" s="1"/>
  <c r="G99" i="13" s="1"/>
  <c r="B109" i="6"/>
  <c r="B110" i="11"/>
  <c r="O26" i="6"/>
  <c r="L20" i="31"/>
  <c r="O20" i="31"/>
  <c r="B18" i="38"/>
  <c r="I17" i="38"/>
  <c r="I13" i="24"/>
  <c r="F18" i="1"/>
  <c r="I12" i="42"/>
  <c r="I13" i="42" s="1"/>
  <c r="I12" i="4"/>
  <c r="I13" i="4" s="1"/>
  <c r="I12" i="10"/>
  <c r="I13" i="10" s="1"/>
  <c r="I12" i="29"/>
  <c r="I13" i="29" s="1"/>
  <c r="I12" i="25"/>
  <c r="I13" i="25" s="1"/>
  <c r="I12" i="6"/>
  <c r="I13" i="6" s="1"/>
  <c r="I12" i="11"/>
  <c r="I13" i="11" s="1"/>
  <c r="I12" i="30"/>
  <c r="I13" i="30" s="1"/>
  <c r="I12" i="3"/>
  <c r="I13" i="3" s="1"/>
  <c r="I12" i="9"/>
  <c r="I13" i="9" s="1"/>
  <c r="I12" i="5"/>
  <c r="I13" i="5" s="1"/>
  <c r="I12" i="8"/>
  <c r="I13" i="8" s="1"/>
  <c r="I12" i="28"/>
  <c r="I13" i="28" s="1"/>
  <c r="I12" i="41"/>
  <c r="I13" i="41" s="1"/>
  <c r="I12" i="23"/>
  <c r="I13" i="23" s="1"/>
  <c r="I12" i="22"/>
  <c r="I13" i="22" s="1"/>
  <c r="I12" i="13"/>
  <c r="I13" i="13" s="1"/>
  <c r="I12" i="7"/>
  <c r="I13" i="7" s="1"/>
  <c r="I12" i="27"/>
  <c r="I13" i="27" s="1"/>
  <c r="I12" i="31"/>
  <c r="I13" i="31" s="1"/>
  <c r="I12" i="38"/>
  <c r="I13" i="38" s="1"/>
  <c r="I12" i="39"/>
  <c r="I13" i="39" s="1"/>
  <c r="O43" i="27"/>
  <c r="B108" i="5"/>
  <c r="B107" i="22"/>
  <c r="J103" i="27"/>
  <c r="J107" i="5"/>
  <c r="J108" i="6"/>
  <c r="B28" i="6"/>
  <c r="B27" i="4"/>
  <c r="B25" i="23"/>
  <c r="B22" i="31"/>
  <c r="B26" i="25"/>
  <c r="B18" i="40"/>
  <c r="B29" i="11"/>
  <c r="B27" i="5"/>
  <c r="B22" i="29"/>
  <c r="B30" i="7"/>
  <c r="B19" i="39"/>
  <c r="B18" i="4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O60" i="40"/>
  <c r="P99" i="39"/>
  <c r="B19" i="38"/>
  <c r="P99" i="37"/>
  <c r="O58" i="37"/>
  <c r="O17" i="37"/>
  <c r="O20" i="37"/>
  <c r="B103" i="28"/>
  <c r="B22" i="28"/>
  <c r="O23" i="27"/>
  <c r="B109" i="8"/>
  <c r="B27" i="3"/>
  <c r="C45" i="13"/>
  <c r="C46" i="13" s="1"/>
  <c r="C47" i="13" s="1"/>
  <c r="C48" i="13" s="1"/>
  <c r="C49" i="13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/>
  <c r="C66" i="13" s="1"/>
  <c r="C67" i="13" s="1"/>
  <c r="C68" i="13" s="1"/>
  <c r="C69" i="13" s="1"/>
  <c r="C70" i="13" s="1"/>
  <c r="C71" i="13" s="1"/>
  <c r="C72" i="13" s="1"/>
  <c r="B101" i="30"/>
  <c r="O23" i="7"/>
  <c r="B104" i="27"/>
  <c r="C45" i="4"/>
  <c r="C46" i="4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45" i="3"/>
  <c r="C46" i="3" s="1"/>
  <c r="C47" i="3" s="1"/>
  <c r="C48" i="3" s="1"/>
  <c r="C49" i="3" s="1"/>
  <c r="C50" i="3" s="1"/>
  <c r="C51" i="3" s="1"/>
  <c r="C52" i="3" s="1"/>
  <c r="C53" i="3"/>
  <c r="C54" i="3" s="1"/>
  <c r="C55" i="3" s="1"/>
  <c r="C56" i="3" s="1"/>
  <c r="C57" i="3" s="1"/>
  <c r="C58" i="3" s="1"/>
  <c r="C59" i="3" s="1"/>
  <c r="C60" i="3" s="1"/>
  <c r="C61" i="3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O19" i="3"/>
  <c r="O21" i="11"/>
  <c r="P103" i="11"/>
  <c r="P101" i="11"/>
  <c r="C100" i="24"/>
  <c r="C101" i="24"/>
  <c r="C102" i="24" s="1"/>
  <c r="C103" i="24" s="1"/>
  <c r="C104" i="24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D99" i="24"/>
  <c r="P99" i="4"/>
  <c r="P100" i="6"/>
  <c r="P104" i="7"/>
  <c r="P99" i="7"/>
  <c r="O20" i="7"/>
  <c r="P103" i="10"/>
  <c r="P99" i="10"/>
  <c r="O18" i="22"/>
  <c r="P99" i="5"/>
  <c r="O22" i="7"/>
  <c r="P102" i="11"/>
  <c r="O21" i="10"/>
  <c r="O17" i="4"/>
  <c r="P100" i="5"/>
  <c r="O19" i="7"/>
  <c r="P100" i="11"/>
  <c r="O20" i="11"/>
  <c r="P99" i="22"/>
  <c r="O22" i="4"/>
  <c r="O23" i="6"/>
  <c r="P100" i="24"/>
  <c r="O17" i="28"/>
  <c r="O27" i="7"/>
  <c r="P102" i="10"/>
  <c r="P99" i="11"/>
  <c r="O19" i="11"/>
  <c r="P99" i="25"/>
  <c r="P100" i="25"/>
  <c r="P106" i="7"/>
  <c r="O24" i="9"/>
  <c r="O25" i="10"/>
  <c r="P99" i="27"/>
  <c r="P103" i="6"/>
  <c r="P103" i="5"/>
  <c r="P99" i="28"/>
  <c r="O24" i="4"/>
  <c r="O27" i="9"/>
  <c r="O54" i="40"/>
  <c r="P107" i="8"/>
  <c r="O27" i="11"/>
  <c r="O23" i="23"/>
  <c r="O20" i="28"/>
  <c r="P101" i="29"/>
  <c r="P109" i="10"/>
  <c r="P105" i="22"/>
  <c r="P103" i="24"/>
  <c r="P102" i="27"/>
  <c r="P103" i="23"/>
  <c r="O19" i="29"/>
  <c r="C139" i="24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B111" i="10"/>
  <c r="B100" i="38"/>
  <c r="J109" i="11"/>
  <c r="B103" i="29"/>
  <c r="J102" i="29"/>
  <c r="B22" i="27"/>
  <c r="B102" i="30"/>
  <c r="J110" i="10"/>
  <c r="B100" i="39"/>
  <c r="B103" i="31"/>
  <c r="J99" i="37"/>
  <c r="B105" i="24"/>
  <c r="J99" i="38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O19" i="39"/>
  <c r="C45" i="38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D94" i="29"/>
  <c r="I10" i="44"/>
  <c r="I10" i="46"/>
  <c r="I10" i="43"/>
  <c r="E54" i="17"/>
  <c r="D54" i="17"/>
  <c r="F54" i="17"/>
  <c r="C54" i="17"/>
  <c r="O54" i="17"/>
  <c r="N54" i="17"/>
  <c r="O31" i="9" l="1"/>
  <c r="O71" i="13"/>
  <c r="O69" i="13"/>
  <c r="O65" i="13"/>
  <c r="O63" i="13"/>
  <c r="O61" i="13"/>
  <c r="O59" i="13"/>
  <c r="O57" i="13"/>
  <c r="O45" i="13"/>
  <c r="O41" i="13"/>
  <c r="O35" i="13"/>
  <c r="O25" i="13"/>
  <c r="O23" i="13"/>
  <c r="O21" i="13"/>
  <c r="O19" i="13"/>
  <c r="O65" i="38"/>
  <c r="O69" i="11"/>
  <c r="O37" i="11"/>
  <c r="O70" i="23"/>
  <c r="O64" i="23"/>
  <c r="O60" i="23"/>
  <c r="O58" i="23"/>
  <c r="O54" i="23"/>
  <c r="O52" i="23"/>
  <c r="O50" i="23"/>
  <c r="O46" i="23"/>
  <c r="O42" i="23"/>
  <c r="O39" i="28"/>
  <c r="O53" i="28"/>
  <c r="O57" i="28"/>
  <c r="O71" i="28"/>
  <c r="O52" i="30"/>
  <c r="O30" i="37"/>
  <c r="O54" i="37"/>
  <c r="O62" i="37"/>
  <c r="O72" i="25"/>
  <c r="O25" i="44"/>
  <c r="O33" i="44"/>
  <c r="O41" i="44"/>
  <c r="O49" i="44"/>
  <c r="O57" i="44"/>
  <c r="O65" i="44"/>
  <c r="O69" i="44"/>
  <c r="O62" i="8"/>
  <c r="O58" i="8"/>
  <c r="O54" i="13"/>
  <c r="O50" i="13"/>
  <c r="O46" i="13"/>
  <c r="F88" i="1"/>
  <c r="F89" i="1" s="1"/>
  <c r="F91" i="1" s="1"/>
  <c r="F92" i="1" s="1"/>
  <c r="F93" i="1" s="1"/>
  <c r="D13" i="27" s="1"/>
  <c r="I14" i="27" s="1"/>
  <c r="O67" i="29"/>
  <c r="O38" i="38"/>
  <c r="O51" i="42"/>
  <c r="O71" i="22"/>
  <c r="O67" i="22"/>
  <c r="O47" i="30"/>
  <c r="O29" i="5"/>
  <c r="O39" i="6"/>
  <c r="O58" i="9"/>
  <c r="O38" i="9"/>
  <c r="O59" i="22"/>
  <c r="O47" i="22"/>
  <c r="O41" i="22"/>
  <c r="O39" i="22"/>
  <c r="O29" i="22"/>
  <c r="O23" i="30"/>
  <c r="O37" i="31"/>
  <c r="O51" i="31"/>
  <c r="O25" i="39"/>
  <c r="O41" i="39"/>
  <c r="O51" i="39"/>
  <c r="O55" i="39"/>
  <c r="O45" i="40"/>
  <c r="O52" i="44"/>
  <c r="O38" i="5"/>
  <c r="O25" i="27"/>
  <c r="O29" i="27"/>
  <c r="O37" i="27"/>
  <c r="O39" i="27"/>
  <c r="O45" i="27"/>
  <c r="O47" i="27"/>
  <c r="O51" i="27"/>
  <c r="O53" i="27"/>
  <c r="O55" i="27"/>
  <c r="O57" i="27"/>
  <c r="O59" i="27"/>
  <c r="O61" i="27"/>
  <c r="O65" i="27"/>
  <c r="O67" i="27"/>
  <c r="O26" i="29"/>
  <c r="O34" i="29"/>
  <c r="O36" i="29"/>
  <c r="O40" i="29"/>
  <c r="O22" i="37"/>
  <c r="O24" i="37"/>
  <c r="O26" i="37"/>
  <c r="O28" i="37"/>
  <c r="O32" i="37"/>
  <c r="O34" i="37"/>
  <c r="O36" i="37"/>
  <c r="O38" i="37"/>
  <c r="O50" i="37"/>
  <c r="O52" i="37"/>
  <c r="O56" i="37"/>
  <c r="O66" i="37"/>
  <c r="O68" i="37"/>
  <c r="O70" i="37"/>
  <c r="O24" i="40"/>
  <c r="O26" i="40"/>
  <c r="O28" i="40"/>
  <c r="O30" i="40"/>
  <c r="O32" i="40"/>
  <c r="O34" i="40"/>
  <c r="O36" i="40"/>
  <c r="O38" i="40"/>
  <c r="O40" i="40"/>
  <c r="O42" i="40"/>
  <c r="O44" i="40"/>
  <c r="O46" i="40"/>
  <c r="O50" i="40"/>
  <c r="O52" i="40"/>
  <c r="O56" i="40"/>
  <c r="O58" i="40"/>
  <c r="O62" i="40"/>
  <c r="O64" i="40"/>
  <c r="O66" i="40"/>
  <c r="O70" i="40"/>
  <c r="O72" i="40"/>
  <c r="O51" i="45"/>
  <c r="O55" i="45"/>
  <c r="O59" i="45"/>
  <c r="O67" i="45"/>
  <c r="O71" i="45"/>
  <c r="O33" i="41"/>
  <c r="O57" i="41"/>
  <c r="P101" i="31"/>
  <c r="O49" i="42"/>
  <c r="O31" i="38"/>
  <c r="O18" i="38"/>
  <c r="O60" i="37"/>
  <c r="O18" i="37"/>
  <c r="O23" i="31"/>
  <c r="O27" i="31"/>
  <c r="O47" i="31"/>
  <c r="O50" i="29"/>
  <c r="O52" i="29"/>
  <c r="O56" i="29"/>
  <c r="O64" i="29"/>
  <c r="O22" i="27"/>
  <c r="O68" i="25"/>
  <c r="O64" i="25"/>
  <c r="O62" i="25"/>
  <c r="O60" i="25"/>
  <c r="O56" i="25"/>
  <c r="O54" i="25"/>
  <c r="O50" i="25"/>
  <c r="O48" i="25"/>
  <c r="O44" i="25"/>
  <c r="O36" i="25"/>
  <c r="O34" i="25"/>
  <c r="O30" i="25"/>
  <c r="O28" i="25"/>
  <c r="O71" i="24"/>
  <c r="O61" i="24"/>
  <c r="O37" i="24"/>
  <c r="O33" i="23"/>
  <c r="O53" i="9"/>
  <c r="O55" i="7"/>
  <c r="O49" i="7"/>
  <c r="O48" i="5"/>
  <c r="O40" i="5"/>
  <c r="O28" i="5"/>
  <c r="O26" i="5"/>
  <c r="D94" i="6"/>
  <c r="D94" i="13"/>
  <c r="D93" i="3"/>
  <c r="C99" i="3" s="1"/>
  <c r="D94" i="5"/>
  <c r="D94" i="23"/>
  <c r="O62" i="3"/>
  <c r="O34" i="3"/>
  <c r="O71" i="4"/>
  <c r="O55" i="4"/>
  <c r="O67" i="6"/>
  <c r="O47" i="6"/>
  <c r="O69" i="7"/>
  <c r="O65" i="7"/>
  <c r="O57" i="7"/>
  <c r="O51" i="7"/>
  <c r="O45" i="7"/>
  <c r="O39" i="7"/>
  <c r="O31" i="7"/>
  <c r="O25" i="31"/>
  <c r="O35" i="31"/>
  <c r="O41" i="31"/>
  <c r="O59" i="31"/>
  <c r="O67" i="31"/>
  <c r="O69" i="31"/>
  <c r="O71" i="31"/>
  <c r="O72" i="31"/>
  <c r="J92" i="25"/>
  <c r="M87" i="25" s="1"/>
  <c r="J92" i="10"/>
  <c r="J92" i="42"/>
  <c r="L86" i="42" s="1"/>
  <c r="J92" i="30"/>
  <c r="L86" i="30" s="1"/>
  <c r="J92" i="40"/>
  <c r="L86" i="40" s="1"/>
  <c r="M19" i="2"/>
  <c r="J92" i="8"/>
  <c r="L86" i="8" s="1"/>
  <c r="J92" i="24"/>
  <c r="L86" i="24" s="1"/>
  <c r="J92" i="7"/>
  <c r="L86" i="7" s="1"/>
  <c r="J92" i="4"/>
  <c r="L86" i="4" s="1"/>
  <c r="J92" i="3"/>
  <c r="M87" i="3" s="1"/>
  <c r="J92" i="31"/>
  <c r="L86" i="31" s="1"/>
  <c r="J92" i="5"/>
  <c r="L86" i="5" s="1"/>
  <c r="J92" i="11"/>
  <c r="M87" i="11" s="1"/>
  <c r="J92" i="29"/>
  <c r="L86" i="29" s="1"/>
  <c r="J92" i="27"/>
  <c r="L86" i="27" s="1"/>
  <c r="J92" i="44"/>
  <c r="N87" i="44" s="1"/>
  <c r="J92" i="37"/>
  <c r="L86" i="37" s="1"/>
  <c r="J92" i="28"/>
  <c r="J92" i="13"/>
  <c r="L86" i="13" s="1"/>
  <c r="J92" i="43"/>
  <c r="N87" i="43" s="1"/>
  <c r="J92" i="9"/>
  <c r="N87" i="9" s="1"/>
  <c r="J92" i="23"/>
  <c r="L86" i="23" s="1"/>
  <c r="A4" i="2"/>
  <c r="J92" i="6"/>
  <c r="L86" i="6" s="1"/>
  <c r="J92" i="38"/>
  <c r="L86" i="38" s="1"/>
  <c r="J92" i="22"/>
  <c r="M87" i="22" s="1"/>
  <c r="J92" i="39"/>
  <c r="N87" i="39" s="1"/>
  <c r="O22" i="46"/>
  <c r="O26" i="46"/>
  <c r="O28" i="46"/>
  <c r="O30" i="46"/>
  <c r="O32" i="46"/>
  <c r="O46" i="46"/>
  <c r="O58" i="46"/>
  <c r="O62" i="46"/>
  <c r="D18" i="46"/>
  <c r="B18" i="46" s="1"/>
  <c r="O34" i="46"/>
  <c r="O35" i="46"/>
  <c r="O43" i="46"/>
  <c r="O51" i="46"/>
  <c r="O69" i="46"/>
  <c r="C45" i="46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P47" i="17"/>
  <c r="O17" i="46"/>
  <c r="O33" i="46"/>
  <c r="O39" i="46"/>
  <c r="O41" i="46"/>
  <c r="O49" i="46"/>
  <c r="O57" i="46"/>
  <c r="O65" i="46"/>
  <c r="O71" i="46"/>
  <c r="O55" i="41"/>
  <c r="O20" i="39"/>
  <c r="O24" i="39"/>
  <c r="O26" i="39"/>
  <c r="O32" i="39"/>
  <c r="O34" i="39"/>
  <c r="O38" i="39"/>
  <c r="O40" i="39"/>
  <c r="O44" i="39"/>
  <c r="O56" i="39"/>
  <c r="O58" i="39"/>
  <c r="O60" i="39"/>
  <c r="O64" i="39"/>
  <c r="O72" i="39"/>
  <c r="O28" i="43"/>
  <c r="O44" i="43"/>
  <c r="O17" i="41"/>
  <c r="O48" i="39"/>
  <c r="O21" i="28"/>
  <c r="O23" i="28"/>
  <c r="O25" i="28"/>
  <c r="O27" i="28"/>
  <c r="O29" i="28"/>
  <c r="O31" i="28"/>
  <c r="O35" i="28"/>
  <c r="O45" i="28"/>
  <c r="O47" i="28"/>
  <c r="O59" i="28"/>
  <c r="O61" i="28"/>
  <c r="O65" i="28"/>
  <c r="O67" i="28"/>
  <c r="O71" i="25"/>
  <c r="O65" i="25"/>
  <c r="O63" i="25"/>
  <c r="O57" i="25"/>
  <c r="O55" i="25"/>
  <c r="O53" i="25"/>
  <c r="O51" i="25"/>
  <c r="O71" i="23"/>
  <c r="O69" i="23"/>
  <c r="O65" i="23"/>
  <c r="O63" i="23"/>
  <c r="O61" i="23"/>
  <c r="O59" i="23"/>
  <c r="O57" i="23"/>
  <c r="O55" i="23"/>
  <c r="O47" i="23"/>
  <c r="O43" i="23"/>
  <c r="O37" i="23"/>
  <c r="O28" i="11"/>
  <c r="O35" i="10"/>
  <c r="O29" i="10"/>
  <c r="O28" i="9"/>
  <c r="O44" i="4"/>
  <c r="O26" i="3"/>
  <c r="P154" i="6"/>
  <c r="P150" i="6"/>
  <c r="P146" i="6"/>
  <c r="P144" i="6"/>
  <c r="P138" i="6"/>
  <c r="P136" i="6"/>
  <c r="P134" i="6"/>
  <c r="P132" i="6"/>
  <c r="P122" i="6"/>
  <c r="P116" i="6"/>
  <c r="P114" i="6"/>
  <c r="O31" i="45"/>
  <c r="O33" i="45"/>
  <c r="O41" i="45"/>
  <c r="B18" i="44"/>
  <c r="O17" i="42"/>
  <c r="O21" i="42"/>
  <c r="O45" i="42"/>
  <c r="O22" i="43"/>
  <c r="O60" i="43"/>
  <c r="O18" i="43"/>
  <c r="O26" i="43"/>
  <c r="O32" i="43"/>
  <c r="O36" i="43"/>
  <c r="O38" i="43"/>
  <c r="O48" i="43"/>
  <c r="O52" i="43"/>
  <c r="O54" i="43"/>
  <c r="O64" i="43"/>
  <c r="O68" i="43"/>
  <c r="O20" i="43"/>
  <c r="O40" i="43"/>
  <c r="O56" i="43"/>
  <c r="O70" i="43"/>
  <c r="O72" i="43"/>
  <c r="O37" i="42"/>
  <c r="O43" i="42"/>
  <c r="O53" i="42"/>
  <c r="O55" i="42"/>
  <c r="O59" i="42"/>
  <c r="O61" i="42"/>
  <c r="O21" i="41"/>
  <c r="O25" i="41"/>
  <c r="O27" i="41"/>
  <c r="O29" i="41"/>
  <c r="O31" i="41"/>
  <c r="O35" i="41"/>
  <c r="O45" i="41"/>
  <c r="O47" i="41"/>
  <c r="O59" i="41"/>
  <c r="O61" i="41"/>
  <c r="O63" i="41"/>
  <c r="O65" i="41"/>
  <c r="O67" i="41"/>
  <c r="O71" i="41"/>
  <c r="O19" i="38"/>
  <c r="O21" i="38"/>
  <c r="O29" i="38"/>
  <c r="O35" i="38"/>
  <c r="O39" i="38"/>
  <c r="O59" i="38"/>
  <c r="O61" i="38"/>
  <c r="O63" i="38"/>
  <c r="O67" i="38"/>
  <c r="O69" i="38"/>
  <c r="O71" i="38"/>
  <c r="O31" i="31"/>
  <c r="O33" i="31"/>
  <c r="O39" i="31"/>
  <c r="O43" i="31"/>
  <c r="O45" i="31"/>
  <c r="O49" i="28"/>
  <c r="O69" i="28"/>
  <c r="O72" i="28"/>
  <c r="O27" i="27"/>
  <c r="O49" i="27"/>
  <c r="O67" i="24"/>
  <c r="O65" i="24"/>
  <c r="O63" i="24"/>
  <c r="O55" i="24"/>
  <c r="O53" i="24"/>
  <c r="O47" i="24"/>
  <c r="O35" i="24"/>
  <c r="O33" i="24"/>
  <c r="O27" i="24"/>
  <c r="O25" i="24"/>
  <c r="O41" i="23"/>
  <c r="O39" i="23"/>
  <c r="O35" i="23"/>
  <c r="O31" i="23"/>
  <c r="O27" i="23"/>
  <c r="O67" i="11"/>
  <c r="O63" i="9"/>
  <c r="O61" i="9"/>
  <c r="O57" i="9"/>
  <c r="O51" i="9"/>
  <c r="O47" i="9"/>
  <c r="O72" i="8"/>
  <c r="O70" i="8"/>
  <c r="O68" i="8"/>
  <c r="O66" i="8"/>
  <c r="O60" i="8"/>
  <c r="O56" i="8"/>
  <c r="O54" i="8"/>
  <c r="O52" i="8"/>
  <c r="O50" i="8"/>
  <c r="O39" i="8"/>
  <c r="O57" i="6"/>
  <c r="O55" i="6"/>
  <c r="O51" i="6"/>
  <c r="O49" i="6"/>
  <c r="O45" i="6"/>
  <c r="O72" i="10"/>
  <c r="O66" i="10"/>
  <c r="O62" i="10"/>
  <c r="O60" i="10"/>
  <c r="O58" i="10"/>
  <c r="O56" i="10"/>
  <c r="O52" i="10"/>
  <c r="O46" i="10"/>
  <c r="O40" i="10"/>
  <c r="O38" i="10"/>
  <c r="O36" i="10"/>
  <c r="O32" i="10"/>
  <c r="O67" i="9"/>
  <c r="O65" i="9"/>
  <c r="O59" i="9"/>
  <c r="O49" i="9"/>
  <c r="O48" i="8"/>
  <c r="O67" i="7"/>
  <c r="O59" i="7"/>
  <c r="O53" i="7"/>
  <c r="O35" i="6"/>
  <c r="O33" i="6"/>
  <c r="O31" i="6"/>
  <c r="O71" i="6"/>
  <c r="O65" i="6"/>
  <c r="O53" i="6"/>
  <c r="O68" i="3"/>
  <c r="O66" i="3"/>
  <c r="P130" i="45"/>
  <c r="P111" i="43"/>
  <c r="P115" i="43"/>
  <c r="P121" i="43"/>
  <c r="P112" i="29"/>
  <c r="P124" i="10"/>
  <c r="P123" i="5"/>
  <c r="P111" i="5"/>
  <c r="P153" i="5"/>
  <c r="P147" i="5"/>
  <c r="P145" i="5"/>
  <c r="P139" i="5"/>
  <c r="P131" i="5"/>
  <c r="P113" i="5"/>
  <c r="D94" i="4"/>
  <c r="D94" i="25"/>
  <c r="M87" i="23"/>
  <c r="P129" i="4"/>
  <c r="P113" i="4"/>
  <c r="C82" i="2"/>
  <c r="C59" i="2"/>
  <c r="C14" i="2"/>
  <c r="C39" i="2"/>
  <c r="C77" i="2"/>
  <c r="C80" i="2"/>
  <c r="N87" i="42"/>
  <c r="C28" i="2"/>
  <c r="C62" i="2"/>
  <c r="C10" i="2"/>
  <c r="C56" i="2"/>
  <c r="C8" i="2"/>
  <c r="C55" i="2"/>
  <c r="C73" i="2"/>
  <c r="L86" i="25"/>
  <c r="C50" i="2"/>
  <c r="C22" i="2"/>
  <c r="P107" i="38"/>
  <c r="P128" i="25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2" i="6"/>
  <c r="O30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33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25" i="30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O20" i="42"/>
  <c r="O22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2" i="41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N87" i="25"/>
  <c r="O87" i="25" s="1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8" i="24"/>
  <c r="O26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30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33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26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C10" i="1"/>
  <c r="C28" i="1"/>
  <c r="C61" i="1"/>
  <c r="C79" i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6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1" i="4"/>
  <c r="P114" i="5"/>
  <c r="O31" i="5"/>
  <c r="O72" i="6"/>
  <c r="O18" i="13"/>
  <c r="F17" i="13"/>
  <c r="H17" i="13" s="1"/>
  <c r="O63" i="27"/>
  <c r="O65" i="4"/>
  <c r="O63" i="4"/>
  <c r="O61" i="4"/>
  <c r="O59" i="4"/>
  <c r="O57" i="4"/>
  <c r="O53" i="4"/>
  <c r="O51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69" i="8"/>
  <c r="O65" i="8"/>
  <c r="O61" i="8"/>
  <c r="O59" i="8"/>
  <c r="O55" i="8"/>
  <c r="O38" i="8"/>
  <c r="O36" i="8"/>
  <c r="O34" i="8"/>
  <c r="O32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23" i="38"/>
  <c r="O23" i="39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22" i="40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21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34" i="7"/>
  <c r="O59" i="11"/>
  <c r="O35" i="22"/>
  <c r="O53" i="23"/>
  <c r="O51" i="23"/>
  <c r="O45" i="23"/>
  <c r="O29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31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21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0" i="46"/>
  <c r="O24" i="46"/>
  <c r="O45" i="46"/>
  <c r="O47" i="46"/>
  <c r="O61" i="46"/>
  <c r="O67" i="46"/>
  <c r="O35" i="8"/>
  <c r="O54" i="3"/>
  <c r="O47" i="5"/>
  <c r="D94" i="37"/>
  <c r="D92" i="37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31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54" i="10"/>
  <c r="O44" i="10"/>
  <c r="O42" i="10"/>
  <c r="O34" i="10"/>
  <c r="O68" i="11"/>
  <c r="O55" i="11"/>
  <c r="O42" i="11"/>
  <c r="O31" i="11"/>
  <c r="O72" i="13"/>
  <c r="O24" i="13"/>
  <c r="O33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18" i="45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100" i="13"/>
  <c r="B100" i="13" s="1"/>
  <c r="P130" i="31"/>
  <c r="P104" i="41"/>
  <c r="P120" i="11"/>
  <c r="P104" i="28"/>
  <c r="P116" i="28"/>
  <c r="P126" i="28"/>
  <c r="P126" i="31"/>
  <c r="P102" i="39"/>
  <c r="P104" i="39"/>
  <c r="P106" i="39"/>
  <c r="P114" i="39"/>
  <c r="P120" i="39"/>
  <c r="P124" i="39"/>
  <c r="P126" i="39"/>
  <c r="P128" i="39"/>
  <c r="P130" i="39"/>
  <c r="P100" i="40"/>
  <c r="P102" i="40"/>
  <c r="P106" i="40"/>
  <c r="P128" i="40"/>
  <c r="P110" i="41"/>
  <c r="P112" i="41"/>
  <c r="P114" i="41"/>
  <c r="P116" i="41"/>
  <c r="P118" i="41"/>
  <c r="P100" i="42"/>
  <c r="P102" i="42"/>
  <c r="P114" i="42"/>
  <c r="P126" i="42"/>
  <c r="P128" i="42"/>
  <c r="P130" i="42"/>
  <c r="P110" i="43"/>
  <c r="P109" i="44"/>
  <c r="P125" i="44"/>
  <c r="P137" i="3"/>
  <c r="P113" i="3"/>
  <c r="P111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2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30" i="11"/>
  <c r="P124" i="46"/>
  <c r="P117" i="5"/>
  <c r="P126" i="24"/>
  <c r="P122" i="24"/>
  <c r="P114" i="24"/>
  <c r="P112" i="24"/>
  <c r="P108" i="24"/>
  <c r="N87" i="23"/>
  <c r="P129" i="22"/>
  <c r="P125" i="22"/>
  <c r="P117" i="22"/>
  <c r="P115" i="22"/>
  <c r="P117" i="25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4" i="11"/>
  <c r="P112" i="11"/>
  <c r="P125" i="24"/>
  <c r="P119" i="24"/>
  <c r="P117" i="24"/>
  <c r="P115" i="24"/>
  <c r="P113" i="24"/>
  <c r="P111" i="24"/>
  <c r="P109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12" i="3"/>
  <c r="P150" i="7"/>
  <c r="P138" i="7"/>
  <c r="P128" i="7"/>
  <c r="P126" i="7"/>
  <c r="P122" i="7"/>
  <c r="P114" i="7"/>
  <c r="P137" i="8"/>
  <c r="P137" i="10"/>
  <c r="P126" i="13"/>
  <c r="P117" i="23"/>
  <c r="P129" i="25"/>
  <c r="P123" i="25"/>
  <c r="P115" i="25"/>
  <c r="P117" i="28"/>
  <c r="P122" i="37"/>
  <c r="P128" i="37"/>
  <c r="P105" i="39"/>
  <c r="P115" i="39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3" i="37"/>
  <c r="P105" i="37"/>
  <c r="P107" i="37"/>
  <c r="P111" i="37"/>
  <c r="P113" i="37"/>
  <c r="P115" i="37"/>
  <c r="P119" i="37"/>
  <c r="P125" i="37"/>
  <c r="P129" i="37"/>
  <c r="P126" i="45"/>
  <c r="P101" i="46"/>
  <c r="P129" i="46"/>
  <c r="J92" i="46"/>
  <c r="P105" i="28"/>
  <c r="P111" i="28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6" i="29"/>
  <c r="P108" i="29"/>
  <c r="P116" i="29"/>
  <c r="P118" i="29"/>
  <c r="P120" i="29"/>
  <c r="P118" i="31"/>
  <c r="P122" i="44"/>
  <c r="P104" i="37"/>
  <c r="P108" i="37"/>
  <c r="P120" i="37"/>
  <c r="P124" i="37"/>
  <c r="P130" i="37"/>
  <c r="P148" i="3"/>
  <c r="P138" i="3"/>
  <c r="P122" i="3"/>
  <c r="P110" i="3"/>
  <c r="P144" i="4"/>
  <c r="P140" i="4"/>
  <c r="P136" i="4"/>
  <c r="P124" i="4"/>
  <c r="P129" i="10"/>
  <c r="P127" i="10"/>
  <c r="P125" i="10"/>
  <c r="P123" i="10"/>
  <c r="P121" i="10"/>
  <c r="P119" i="10"/>
  <c r="P117" i="10"/>
  <c r="P115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N87" i="37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N87" i="1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F20" i="1"/>
  <c r="D93" i="29"/>
  <c r="C99" i="3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N87" i="10"/>
  <c r="L86" i="10"/>
  <c r="M87" i="10"/>
  <c r="D94" i="9"/>
  <c r="D93" i="9"/>
  <c r="D94" i="8"/>
  <c r="D93" i="8"/>
  <c r="D93" i="7"/>
  <c r="D94" i="7"/>
  <c r="O18" i="24"/>
  <c r="O19" i="8"/>
  <c r="B28" i="8"/>
  <c r="B26" i="22"/>
  <c r="D13" i="5"/>
  <c r="I14" i="5" s="1"/>
  <c r="O59" i="3"/>
  <c r="O49" i="3"/>
  <c r="O49" i="4"/>
  <c r="F19" i="2"/>
  <c r="F20" i="2" s="1"/>
  <c r="O20" i="3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N87" i="4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3" i="6"/>
  <c r="P111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P110" i="23"/>
  <c r="O49" i="23"/>
  <c r="O26" i="23"/>
  <c r="O68" i="24"/>
  <c r="O45" i="24"/>
  <c r="O43" i="24"/>
  <c r="O67" i="25"/>
  <c r="O46" i="25"/>
  <c r="O22" i="11"/>
  <c r="O19" i="22"/>
  <c r="P119" i="25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23" i="37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06" i="28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P123" i="46"/>
  <c r="P122" i="45"/>
  <c r="P125" i="46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4" i="9"/>
  <c r="P112" i="9"/>
  <c r="P124" i="22"/>
  <c r="P122" i="22"/>
  <c r="P125" i="25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5" i="31"/>
  <c r="P107" i="31"/>
  <c r="P109" i="31"/>
  <c r="P119" i="43"/>
  <c r="P123" i="43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2" i="4"/>
  <c r="P110" i="4"/>
  <c r="P142" i="5"/>
  <c r="P140" i="5"/>
  <c r="P136" i="5"/>
  <c r="P130" i="5"/>
  <c r="P148" i="7"/>
  <c r="P153" i="8"/>
  <c r="P130" i="10"/>
  <c r="P116" i="10"/>
  <c r="P127" i="11"/>
  <c r="P119" i="11"/>
  <c r="P115" i="11"/>
  <c r="P113" i="11"/>
  <c r="P111" i="13"/>
  <c r="P103" i="13"/>
  <c r="P116" i="22"/>
  <c r="P114" i="22"/>
  <c r="P110" i="22"/>
  <c r="P116" i="23"/>
  <c r="P120" i="25"/>
  <c r="P116" i="25"/>
  <c r="P114" i="25"/>
  <c r="P110" i="25"/>
  <c r="P110" i="28"/>
  <c r="P103" i="41"/>
  <c r="P105" i="41"/>
  <c r="P107" i="41"/>
  <c r="P111" i="41"/>
  <c r="P113" i="41"/>
  <c r="P125" i="41"/>
  <c r="P129" i="41"/>
  <c r="P105" i="42"/>
  <c r="P121" i="42"/>
  <c r="P127" i="42"/>
  <c r="P102" i="43"/>
  <c r="P104" i="43"/>
  <c r="P114" i="43"/>
  <c r="P118" i="43"/>
  <c r="P127" i="43"/>
  <c r="P99" i="44"/>
  <c r="P100" i="44"/>
  <c r="P102" i="44"/>
  <c r="P103" i="44"/>
  <c r="P104" i="44"/>
  <c r="P106" i="44"/>
  <c r="P108" i="44"/>
  <c r="P110" i="44"/>
  <c r="P112" i="44"/>
  <c r="P114" i="44"/>
  <c r="P116" i="44"/>
  <c r="P120" i="44"/>
  <c r="P128" i="44"/>
  <c r="P130" i="44"/>
  <c r="P100" i="46"/>
  <c r="P106" i="46"/>
  <c r="P108" i="46"/>
  <c r="P120" i="46"/>
  <c r="P126" i="46"/>
  <c r="P145" i="4"/>
  <c r="P123" i="7"/>
  <c r="P121" i="7"/>
  <c r="P119" i="7"/>
  <c r="P113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2" i="38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29" i="23"/>
  <c r="P125" i="23"/>
  <c r="P123" i="23"/>
  <c r="P121" i="23"/>
  <c r="P113" i="23"/>
  <c r="P108" i="27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3" i="38"/>
  <c r="P105" i="38"/>
  <c r="P127" i="38"/>
  <c r="P129" i="38"/>
  <c r="P101" i="39"/>
  <c r="P103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M87" i="9"/>
  <c r="N87" i="28"/>
  <c r="L86" i="28"/>
  <c r="M87" i="45"/>
  <c r="N87" i="3"/>
  <c r="L86" i="45"/>
  <c r="M87" i="28"/>
  <c r="F48" i="2"/>
  <c r="F52" i="2" s="1"/>
  <c r="P120" i="6"/>
  <c r="P127" i="8"/>
  <c r="P123" i="8"/>
  <c r="P121" i="8"/>
  <c r="P117" i="8"/>
  <c r="P113" i="8"/>
  <c r="P113" i="9"/>
  <c r="P138" i="10"/>
  <c r="P123" i="11"/>
  <c r="P121" i="11"/>
  <c r="P129" i="13"/>
  <c r="P127" i="13"/>
  <c r="P115" i="13"/>
  <c r="P107" i="13"/>
  <c r="P105" i="13"/>
  <c r="P99" i="13"/>
  <c r="P113" i="22"/>
  <c r="P111" i="22"/>
  <c r="P109" i="22"/>
  <c r="P114" i="23"/>
  <c r="P125" i="38"/>
  <c r="P113" i="39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P126" i="25"/>
  <c r="P124" i="25"/>
  <c r="P122" i="25"/>
  <c r="P118" i="25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5" i="9" s="1"/>
  <c r="J94" i="4"/>
  <c r="J95" i="4" s="1"/>
  <c r="J94" i="6"/>
  <c r="J95" i="6" s="1"/>
  <c r="J94" i="11"/>
  <c r="J95" i="11" s="1"/>
  <c r="P107" i="27"/>
  <c r="P114" i="29"/>
  <c r="P110" i="30"/>
  <c r="P114" i="31"/>
  <c r="P100" i="43"/>
  <c r="P108" i="43"/>
  <c r="P108" i="45"/>
  <c r="P144" i="5"/>
  <c r="P108" i="23"/>
  <c r="P129" i="24"/>
  <c r="P113" i="25"/>
  <c r="P111" i="25"/>
  <c r="P109" i="25"/>
  <c r="P128" i="29"/>
  <c r="P105" i="30"/>
  <c r="P123" i="37"/>
  <c r="P103" i="40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5" i="29"/>
  <c r="P107" i="29"/>
  <c r="P109" i="29"/>
  <c r="P115" i="29"/>
  <c r="P106" i="30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27" i="25"/>
  <c r="P106" i="24"/>
  <c r="P105" i="44"/>
  <c r="P112" i="45"/>
  <c r="P142" i="4"/>
  <c r="P132" i="4"/>
  <c r="P154" i="5"/>
  <c r="P112" i="2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30" i="25"/>
  <c r="P123" i="29"/>
  <c r="P127" i="29"/>
  <c r="P111" i="30"/>
  <c r="P115" i="30"/>
  <c r="P110" i="31"/>
  <c r="P112" i="31"/>
  <c r="P125" i="31"/>
  <c r="P127" i="31"/>
  <c r="P112" i="37"/>
  <c r="P109" i="39"/>
  <c r="P119" i="40"/>
  <c r="P123" i="40"/>
  <c r="P126" i="40"/>
  <c r="P109" i="41"/>
  <c r="P103" i="42"/>
  <c r="P112" i="42"/>
  <c r="P116" i="42"/>
  <c r="P105" i="43"/>
  <c r="P101" i="44"/>
  <c r="P113" i="44"/>
  <c r="P101" i="45"/>
  <c r="P110" i="45"/>
  <c r="P117" i="45"/>
  <c r="P124" i="45"/>
  <c r="P103" i="46"/>
  <c r="P110" i="46"/>
  <c r="P112" i="46"/>
  <c r="P119" i="46"/>
  <c r="P121" i="46"/>
  <c r="P150" i="5"/>
  <c r="P115" i="7"/>
  <c r="P110" i="24"/>
  <c r="F88" i="2"/>
  <c r="F89" i="2" s="1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12" i="6"/>
  <c r="P151" i="7"/>
  <c r="P147" i="7"/>
  <c r="P131" i="7"/>
  <c r="P127" i="7"/>
  <c r="P135" i="8"/>
  <c r="P119" i="8"/>
  <c r="P111" i="8"/>
  <c r="P117" i="9"/>
  <c r="P135" i="10"/>
  <c r="P133" i="10"/>
  <c r="P114" i="10"/>
  <c r="P112" i="10"/>
  <c r="P130" i="22"/>
  <c r="P111" i="23"/>
  <c r="P109" i="23"/>
  <c r="P130" i="24"/>
  <c r="P127" i="24"/>
  <c r="P123" i="24"/>
  <c r="P121" i="24"/>
  <c r="P121" i="25"/>
  <c r="P106" i="27"/>
  <c r="P110" i="27"/>
  <c r="P115" i="28"/>
  <c r="P103" i="30"/>
  <c r="P114" i="30"/>
  <c r="P122" i="30"/>
  <c r="P130" i="30"/>
  <c r="P106" i="31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P126" i="6"/>
  <c r="P129" i="7"/>
  <c r="P123" i="9"/>
  <c r="P131" i="10"/>
  <c r="P120" i="23"/>
  <c r="P123" i="27"/>
  <c r="P121" i="28"/>
  <c r="P108" i="39"/>
  <c r="P102" i="41"/>
  <c r="P126" i="43"/>
  <c r="P122" i="10"/>
  <c r="P120" i="10"/>
  <c r="P113" i="10"/>
  <c r="P118" i="13"/>
  <c r="P113" i="13"/>
  <c r="P104" i="29"/>
  <c r="P111" i="42"/>
  <c r="P116" i="11"/>
  <c r="P111" i="11"/>
  <c r="P115" i="23"/>
  <c r="P112" i="23"/>
  <c r="P107" i="28"/>
  <c r="P129" i="28"/>
  <c r="P108" i="30"/>
  <c r="P110" i="38"/>
  <c r="P120" i="43"/>
  <c r="P130" i="43"/>
  <c r="P118" i="44"/>
  <c r="D20" i="17"/>
  <c r="C18" i="17"/>
  <c r="C37" i="17"/>
  <c r="D37" i="17"/>
  <c r="D32" i="17"/>
  <c r="C33" i="17"/>
  <c r="C27" i="17"/>
  <c r="D44" i="17"/>
  <c r="D43" i="17"/>
  <c r="C29" i="17"/>
  <c r="C23" i="17"/>
  <c r="C30" i="17"/>
  <c r="C32" i="17"/>
  <c r="D40" i="17"/>
  <c r="C35" i="17"/>
  <c r="D19" i="17"/>
  <c r="C44" i="17"/>
  <c r="C20" i="17"/>
  <c r="D45" i="17"/>
  <c r="D29" i="17"/>
  <c r="C26" i="17"/>
  <c r="C36" i="17"/>
  <c r="D36" i="17"/>
  <c r="C45" i="17"/>
  <c r="D26" i="17"/>
  <c r="C39" i="17"/>
  <c r="C38" i="17"/>
  <c r="C19" i="17"/>
  <c r="C28" i="17"/>
  <c r="D13" i="6" l="1"/>
  <c r="I14" i="6" s="1"/>
  <c r="D13" i="40"/>
  <c r="I14" i="40" s="1"/>
  <c r="D13" i="43"/>
  <c r="I14" i="43" s="1"/>
  <c r="D13" i="25"/>
  <c r="I14" i="25" s="1"/>
  <c r="D13" i="42"/>
  <c r="I14" i="42" s="1"/>
  <c r="D13" i="9"/>
  <c r="I14" i="9" s="1"/>
  <c r="D13" i="11"/>
  <c r="I14" i="11" s="1"/>
  <c r="D13" i="3"/>
  <c r="I14" i="3" s="1"/>
  <c r="D13" i="7"/>
  <c r="I14" i="7" s="1"/>
  <c r="D13" i="30"/>
  <c r="I14" i="30" s="1"/>
  <c r="D13" i="44"/>
  <c r="I14" i="44" s="1"/>
  <c r="D13" i="37"/>
  <c r="I14" i="37" s="1"/>
  <c r="D13" i="29"/>
  <c r="I14" i="29" s="1"/>
  <c r="D13" i="23"/>
  <c r="I14" i="23" s="1"/>
  <c r="D13" i="22"/>
  <c r="I14" i="22" s="1"/>
  <c r="D13" i="28"/>
  <c r="I14" i="28" s="1"/>
  <c r="D13" i="4"/>
  <c r="I14" i="4" s="1"/>
  <c r="D13" i="45"/>
  <c r="I14" i="45" s="1"/>
  <c r="D13" i="10"/>
  <c r="I14" i="10" s="1"/>
  <c r="D13" i="38"/>
  <c r="I14" i="38" s="1"/>
  <c r="D13" i="31"/>
  <c r="I14" i="31" s="1"/>
  <c r="D13" i="41"/>
  <c r="I14" i="41" s="1"/>
  <c r="D13" i="24"/>
  <c r="I14" i="24" s="1"/>
  <c r="D13" i="13"/>
  <c r="D13" i="39"/>
  <c r="I14" i="39" s="1"/>
  <c r="D13" i="8"/>
  <c r="I14" i="8" s="1"/>
  <c r="D13" i="46"/>
  <c r="I14" i="46" s="1"/>
  <c r="E18" i="46" s="1"/>
  <c r="M87" i="40"/>
  <c r="M87" i="5"/>
  <c r="N87" i="13"/>
  <c r="M87" i="31"/>
  <c r="N87" i="22"/>
  <c r="O87" i="22" s="1"/>
  <c r="L86" i="3"/>
  <c r="N87" i="31"/>
  <c r="M87" i="42"/>
  <c r="O87" i="42" s="1"/>
  <c r="L86" i="39"/>
  <c r="M87" i="8"/>
  <c r="N87" i="8"/>
  <c r="M87" i="29"/>
  <c r="N87" i="29"/>
  <c r="L86" i="22"/>
  <c r="M87" i="13"/>
  <c r="O87" i="13" s="1"/>
  <c r="L86" i="44"/>
  <c r="M87" i="7"/>
  <c r="N87" i="5"/>
  <c r="O87" i="5" s="1"/>
  <c r="N87" i="27"/>
  <c r="M87" i="27"/>
  <c r="N87" i="24"/>
  <c r="N87" i="30"/>
  <c r="N87" i="40"/>
  <c r="M87" i="44"/>
  <c r="O87" i="44" s="1"/>
  <c r="N87" i="7"/>
  <c r="M87" i="43"/>
  <c r="O87" i="43" s="1"/>
  <c r="M87" i="24"/>
  <c r="L86" i="43"/>
  <c r="M87" i="30"/>
  <c r="M87" i="39"/>
  <c r="O87" i="39" s="1"/>
  <c r="L86" i="9"/>
  <c r="O87" i="23"/>
  <c r="N87" i="38"/>
  <c r="M87" i="38"/>
  <c r="M87" i="6"/>
  <c r="N87" i="6"/>
  <c r="L86" i="11"/>
  <c r="M87" i="37"/>
  <c r="O87" i="37" s="1"/>
  <c r="M87" i="4"/>
  <c r="O87" i="4" s="1"/>
  <c r="D100" i="44"/>
  <c r="E100" i="13"/>
  <c r="F100" i="13" s="1"/>
  <c r="D101" i="13" s="1"/>
  <c r="E101" i="13" s="1"/>
  <c r="D19" i="44"/>
  <c r="B19" i="44" s="1"/>
  <c r="D18" i="13"/>
  <c r="G17" i="13"/>
  <c r="I17" i="13" s="1"/>
  <c r="B18" i="45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E19" i="27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O87" i="9"/>
  <c r="O87" i="11"/>
  <c r="M87" i="46"/>
  <c r="N87" i="46"/>
  <c r="L86" i="46"/>
  <c r="O87" i="10"/>
  <c r="O87" i="41"/>
  <c r="E25" i="2"/>
  <c r="E26" i="2" s="1"/>
  <c r="E30" i="2" s="1"/>
  <c r="E32" i="2"/>
  <c r="E32" i="1"/>
  <c r="E25" i="1"/>
  <c r="E26" i="1" s="1"/>
  <c r="F18" i="46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I13" i="45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O87" i="7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N87" i="45"/>
  <c r="I13" i="46"/>
  <c r="N6" i="46" s="1"/>
  <c r="N5" i="46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5" i="43"/>
  <c r="J95" i="38"/>
  <c r="O87" i="3"/>
  <c r="J95" i="13"/>
  <c r="I99" i="13" s="1"/>
  <c r="H99" i="13"/>
  <c r="O87" i="28"/>
  <c r="D21" i="17"/>
  <c r="D35" i="17"/>
  <c r="D25" i="17"/>
  <c r="C22" i="17"/>
  <c r="C40" i="17"/>
  <c r="C24" i="17"/>
  <c r="D41" i="17"/>
  <c r="D38" i="17"/>
  <c r="D34" i="17"/>
  <c r="C43" i="17"/>
  <c r="C21" i="17"/>
  <c r="C34" i="17"/>
  <c r="D33" i="17"/>
  <c r="D23" i="17"/>
  <c r="D22" i="17"/>
  <c r="C31" i="17"/>
  <c r="C25" i="17"/>
  <c r="C42" i="17"/>
  <c r="D30" i="17"/>
  <c r="D27" i="17"/>
  <c r="D31" i="17"/>
  <c r="C41" i="17"/>
  <c r="D39" i="17"/>
  <c r="D24" i="17"/>
  <c r="D42" i="17"/>
  <c r="D18" i="17"/>
  <c r="D28" i="17"/>
  <c r="O87" i="24" l="1"/>
  <c r="O87" i="40"/>
  <c r="O87" i="8"/>
  <c r="O87" i="31"/>
  <c r="O87" i="30"/>
  <c r="O87" i="29"/>
  <c r="B100" i="44"/>
  <c r="O87" i="27"/>
  <c r="O87" i="6"/>
  <c r="O87" i="38"/>
  <c r="N17" i="2"/>
  <c r="R132" i="2" s="1"/>
  <c r="J99" i="44"/>
  <c r="B101" i="13"/>
  <c r="F101" i="13"/>
  <c r="G101" i="13" s="1"/>
  <c r="E33" i="2"/>
  <c r="E37" i="2" s="1"/>
  <c r="F54" i="2" s="1"/>
  <c r="F53" i="2"/>
  <c r="O17" i="2"/>
  <c r="R133" i="2" s="1"/>
  <c r="G100" i="13"/>
  <c r="H100" i="13" s="1"/>
  <c r="E19" i="44"/>
  <c r="F19" i="44" s="1"/>
  <c r="H19" i="44" s="1"/>
  <c r="D19" i="45"/>
  <c r="B19" i="45" s="1"/>
  <c r="D100" i="45"/>
  <c r="B18" i="13"/>
  <c r="E18" i="13"/>
  <c r="F18" i="13" s="1"/>
  <c r="D19" i="13" s="1"/>
  <c r="B23" i="27"/>
  <c r="D99" i="7"/>
  <c r="O87" i="46"/>
  <c r="O87" i="45"/>
  <c r="B20" i="37"/>
  <c r="I17" i="46"/>
  <c r="I19" i="37"/>
  <c r="N6" i="37"/>
  <c r="N5" i="37"/>
  <c r="N5" i="10"/>
  <c r="B31" i="10"/>
  <c r="I30" i="10"/>
  <c r="N6" i="10"/>
  <c r="E30" i="1"/>
  <c r="E33" i="1" s="1"/>
  <c r="F53" i="1"/>
  <c r="I18" i="44"/>
  <c r="D19" i="46"/>
  <c r="E19" i="46" s="1"/>
  <c r="G18" i="46"/>
  <c r="H18" i="46"/>
  <c r="J99" i="13"/>
  <c r="E37" i="1" l="1"/>
  <c r="F54" i="1" s="1"/>
  <c r="F55" i="1" s="1"/>
  <c r="N29" i="2"/>
  <c r="I18" i="45"/>
  <c r="P17" i="2"/>
  <c r="I100" i="13"/>
  <c r="J100" i="13" s="1"/>
  <c r="D102" i="13"/>
  <c r="B102" i="13" s="1"/>
  <c r="F55" i="2"/>
  <c r="F62" i="2" s="1"/>
  <c r="F65" i="2" s="1"/>
  <c r="F67" i="2" s="1"/>
  <c r="F69" i="2" s="1"/>
  <c r="F70" i="2" s="1"/>
  <c r="F71" i="2" s="1"/>
  <c r="F56" i="2" s="1"/>
  <c r="F57" i="2" s="1"/>
  <c r="G18" i="13"/>
  <c r="D20" i="44"/>
  <c r="G19" i="44"/>
  <c r="E19" i="45"/>
  <c r="F19" i="45" s="1"/>
  <c r="H18" i="13"/>
  <c r="I18" i="13" s="1"/>
  <c r="I18" i="46"/>
  <c r="E19" i="13"/>
  <c r="F19" i="13" s="1"/>
  <c r="B19" i="13"/>
  <c r="B100" i="45"/>
  <c r="N5" i="27"/>
  <c r="N6" i="44"/>
  <c r="N7" i="10"/>
  <c r="B30" i="9"/>
  <c r="E32" i="10"/>
  <c r="D32" i="10"/>
  <c r="N5" i="9"/>
  <c r="B19" i="46"/>
  <c r="F19" i="46"/>
  <c r="G19" i="46" s="1"/>
  <c r="I29" i="9"/>
  <c r="N6" i="9"/>
  <c r="I17" i="45"/>
  <c r="N7" i="37"/>
  <c r="E21" i="37"/>
  <c r="D21" i="37"/>
  <c r="I17" i="44"/>
  <c r="I20" i="37"/>
  <c r="H101" i="13"/>
  <c r="I101" i="13"/>
  <c r="F36" i="17"/>
  <c r="F25" i="17"/>
  <c r="D20" i="45" l="1"/>
  <c r="E20" i="45" s="1"/>
  <c r="H19" i="45"/>
  <c r="I19" i="44"/>
  <c r="N5" i="44"/>
  <c r="N7" i="44" s="1"/>
  <c r="E102" i="13"/>
  <c r="E20" i="44"/>
  <c r="F20" i="44" s="1"/>
  <c r="B20" i="44"/>
  <c r="G19" i="45"/>
  <c r="I19" i="45" s="1"/>
  <c r="G19" i="13"/>
  <c r="D20" i="13"/>
  <c r="H19" i="13"/>
  <c r="J99" i="45"/>
  <c r="I23" i="27"/>
  <c r="N6" i="27"/>
  <c r="N7" i="27" s="1"/>
  <c r="B24" i="27"/>
  <c r="G25" i="17"/>
  <c r="G36" i="17"/>
  <c r="N5" i="41"/>
  <c r="N5" i="7"/>
  <c r="B28" i="5"/>
  <c r="I19" i="38"/>
  <c r="N6" i="38"/>
  <c r="B23" i="31"/>
  <c r="I26" i="25"/>
  <c r="N6" i="25"/>
  <c r="I24" i="24"/>
  <c r="N6" i="24"/>
  <c r="B19" i="41"/>
  <c r="B20" i="45"/>
  <c r="F20" i="45"/>
  <c r="H20" i="45" s="1"/>
  <c r="N5" i="43"/>
  <c r="N6" i="6"/>
  <c r="I28" i="6"/>
  <c r="N6" i="8"/>
  <c r="I28" i="8"/>
  <c r="I29" i="11"/>
  <c r="N6" i="11"/>
  <c r="I27" i="5"/>
  <c r="N6" i="5"/>
  <c r="I19" i="39"/>
  <c r="N6" i="39"/>
  <c r="I22" i="29"/>
  <c r="N6" i="29"/>
  <c r="I27" i="3"/>
  <c r="N6" i="3"/>
  <c r="N5" i="40"/>
  <c r="I18" i="42"/>
  <c r="N6" i="42"/>
  <c r="B23" i="28"/>
  <c r="B22" i="30"/>
  <c r="N5" i="23"/>
  <c r="D20" i="46"/>
  <c r="E20" i="46" s="1"/>
  <c r="N5" i="28"/>
  <c r="I26" i="22"/>
  <c r="N6" i="22"/>
  <c r="N5" i="30"/>
  <c r="N5" i="25"/>
  <c r="B25" i="24"/>
  <c r="I25" i="23"/>
  <c r="N6" i="23"/>
  <c r="N6" i="41"/>
  <c r="I18" i="41"/>
  <c r="N5" i="4"/>
  <c r="N5" i="45"/>
  <c r="N6" i="43"/>
  <c r="I17" i="43"/>
  <c r="I30" i="7"/>
  <c r="N6" i="7"/>
  <c r="N5" i="8"/>
  <c r="N5" i="11"/>
  <c r="H19" i="46"/>
  <c r="B20" i="39"/>
  <c r="N5" i="29"/>
  <c r="N5" i="3"/>
  <c r="B19" i="40"/>
  <c r="B19" i="42"/>
  <c r="B32" i="10"/>
  <c r="F32" i="10"/>
  <c r="H32" i="10" s="1"/>
  <c r="N5" i="38"/>
  <c r="N5" i="22"/>
  <c r="N5" i="31"/>
  <c r="B28" i="4"/>
  <c r="B18" i="43"/>
  <c r="B29" i="6"/>
  <c r="B27" i="25"/>
  <c r="N5" i="24"/>
  <c r="B26" i="23"/>
  <c r="I27" i="4"/>
  <c r="N6" i="4"/>
  <c r="N6" i="45"/>
  <c r="B21" i="37"/>
  <c r="F21" i="37"/>
  <c r="H21" i="37" s="1"/>
  <c r="B31" i="7"/>
  <c r="N5" i="6"/>
  <c r="B29" i="8"/>
  <c r="B30" i="11"/>
  <c r="N7" i="9"/>
  <c r="N5" i="5"/>
  <c r="F62" i="1"/>
  <c r="F65" i="1" s="1"/>
  <c r="F67" i="1" s="1"/>
  <c r="F69" i="1" s="1"/>
  <c r="F76" i="1"/>
  <c r="F77" i="1" s="1"/>
  <c r="N5" i="39"/>
  <c r="B23" i="29"/>
  <c r="B28" i="3"/>
  <c r="I18" i="40"/>
  <c r="N6" i="40"/>
  <c r="N5" i="42"/>
  <c r="I31" i="10"/>
  <c r="I22" i="28"/>
  <c r="N6" i="28"/>
  <c r="D31" i="9"/>
  <c r="E31" i="9"/>
  <c r="B20" i="38"/>
  <c r="B27" i="22"/>
  <c r="I22" i="31"/>
  <c r="N6" i="31"/>
  <c r="N6" i="30"/>
  <c r="I21" i="30"/>
  <c r="F59" i="2"/>
  <c r="F79" i="2" s="1"/>
  <c r="F80" i="2" s="1"/>
  <c r="F82" i="2" s="1"/>
  <c r="F76" i="2"/>
  <c r="F77" i="2" s="1"/>
  <c r="J101" i="13"/>
  <c r="F102" i="13"/>
  <c r="F24" i="17"/>
  <c r="F31" i="17"/>
  <c r="F43" i="17"/>
  <c r="G32" i="10" l="1"/>
  <c r="N7" i="45"/>
  <c r="G43" i="17"/>
  <c r="N7" i="41"/>
  <c r="H20" i="44"/>
  <c r="G20" i="44"/>
  <c r="D21" i="44"/>
  <c r="G20" i="45"/>
  <c r="I20" i="45" s="1"/>
  <c r="I19" i="13"/>
  <c r="E20" i="13"/>
  <c r="B20" i="13"/>
  <c r="F20" i="13"/>
  <c r="G31" i="17"/>
  <c r="I18" i="43"/>
  <c r="I20" i="38"/>
  <c r="I20" i="39"/>
  <c r="E25" i="27"/>
  <c r="D25" i="27"/>
  <c r="N7" i="23"/>
  <c r="N7" i="4"/>
  <c r="N7" i="31"/>
  <c r="N7" i="40"/>
  <c r="N7" i="30"/>
  <c r="N7" i="7"/>
  <c r="N7" i="29"/>
  <c r="N7" i="25"/>
  <c r="G24" i="17"/>
  <c r="D28" i="22"/>
  <c r="E28" i="22"/>
  <c r="D21" i="38"/>
  <c r="E21" i="38"/>
  <c r="D29" i="3"/>
  <c r="E29" i="3"/>
  <c r="F70" i="1"/>
  <c r="F71" i="1" s="1"/>
  <c r="F56" i="1" s="1"/>
  <c r="F57" i="1" s="1"/>
  <c r="F59" i="1" s="1"/>
  <c r="F79" i="1" s="1"/>
  <c r="F80" i="1" s="1"/>
  <c r="F82" i="1" s="1"/>
  <c r="D30" i="8"/>
  <c r="E30" i="8"/>
  <c r="D32" i="7"/>
  <c r="E32" i="7"/>
  <c r="D29" i="4"/>
  <c r="E29" i="4"/>
  <c r="D20" i="42"/>
  <c r="E20" i="42"/>
  <c r="I19" i="46"/>
  <c r="N7" i="46"/>
  <c r="D23" i="30"/>
  <c r="E23" i="30"/>
  <c r="D24" i="28"/>
  <c r="E24" i="28"/>
  <c r="N7" i="3"/>
  <c r="N7" i="24"/>
  <c r="N7" i="38"/>
  <c r="D24" i="29"/>
  <c r="E24" i="29"/>
  <c r="D30" i="6"/>
  <c r="E30" i="6"/>
  <c r="D20" i="40"/>
  <c r="E20" i="40"/>
  <c r="D20" i="41"/>
  <c r="E20" i="41"/>
  <c r="D31" i="11"/>
  <c r="E31" i="11"/>
  <c r="D27" i="23"/>
  <c r="E27" i="23"/>
  <c r="D28" i="25"/>
  <c r="E28" i="25"/>
  <c r="D21" i="39"/>
  <c r="E21" i="39"/>
  <c r="N7" i="22"/>
  <c r="N7" i="5"/>
  <c r="N7" i="11"/>
  <c r="N7" i="8"/>
  <c r="N7" i="6"/>
  <c r="D24" i="31"/>
  <c r="E24" i="31"/>
  <c r="B31" i="9"/>
  <c r="F31" i="9"/>
  <c r="H31" i="9" s="1"/>
  <c r="E22" i="37"/>
  <c r="D22" i="37"/>
  <c r="D26" i="24"/>
  <c r="E26" i="24"/>
  <c r="N7" i="42"/>
  <c r="N7" i="28"/>
  <c r="I30" i="9"/>
  <c r="G21" i="37"/>
  <c r="E33" i="10"/>
  <c r="D33" i="10"/>
  <c r="N7" i="43"/>
  <c r="F20" i="46"/>
  <c r="H20" i="46" s="1"/>
  <c r="B20" i="46"/>
  <c r="N7" i="39"/>
  <c r="D21" i="45"/>
  <c r="E21" i="45" s="1"/>
  <c r="D29" i="5"/>
  <c r="E29" i="5"/>
  <c r="G102" i="13"/>
  <c r="D103" i="13"/>
  <c r="F39" i="17"/>
  <c r="F45" i="17"/>
  <c r="F32" i="17"/>
  <c r="F18" i="17"/>
  <c r="F22" i="17"/>
  <c r="F40" i="17"/>
  <c r="F33" i="17"/>
  <c r="F29" i="17"/>
  <c r="F23" i="17"/>
  <c r="F26" i="17"/>
  <c r="F38" i="17"/>
  <c r="F42" i="17"/>
  <c r="F34" i="17"/>
  <c r="F44" i="17"/>
  <c r="F20" i="17"/>
  <c r="F37" i="17"/>
  <c r="F28" i="17"/>
  <c r="F19" i="17"/>
  <c r="F30" i="17"/>
  <c r="F21" i="17"/>
  <c r="F41" i="17"/>
  <c r="F27" i="17"/>
  <c r="F35" i="17"/>
  <c r="G31" i="9" l="1"/>
  <c r="G45" i="17"/>
  <c r="F47" i="17"/>
  <c r="G44" i="17"/>
  <c r="G42" i="17"/>
  <c r="G40" i="17"/>
  <c r="I20" i="44"/>
  <c r="E21" i="44"/>
  <c r="F21" i="44" s="1"/>
  <c r="B21" i="44"/>
  <c r="G20" i="46"/>
  <c r="I20" i="46" s="1"/>
  <c r="D21" i="13"/>
  <c r="H20" i="13"/>
  <c r="N6" i="13" s="1"/>
  <c r="N19" i="1" s="1"/>
  <c r="G20" i="13"/>
  <c r="N5" i="13" s="1"/>
  <c r="M19" i="1" s="1"/>
  <c r="M20" i="1" s="1"/>
  <c r="F25" i="27"/>
  <c r="H25" i="27" s="1"/>
  <c r="B25" i="27"/>
  <c r="I24" i="27"/>
  <c r="G28" i="17"/>
  <c r="G34" i="17"/>
  <c r="G39" i="17"/>
  <c r="G35" i="17"/>
  <c r="G22" i="17"/>
  <c r="G19" i="17"/>
  <c r="G30" i="17"/>
  <c r="G33" i="17"/>
  <c r="G41" i="17"/>
  <c r="G23" i="17"/>
  <c r="G29" i="17"/>
  <c r="G21" i="17"/>
  <c r="G38" i="17"/>
  <c r="G26" i="17"/>
  <c r="G27" i="17"/>
  <c r="G18" i="17"/>
  <c r="G32" i="17"/>
  <c r="G20" i="17"/>
  <c r="G37" i="17"/>
  <c r="B20" i="41"/>
  <c r="F20" i="41"/>
  <c r="G20" i="41" s="1"/>
  <c r="F24" i="29"/>
  <c r="G24" i="29" s="1"/>
  <c r="B24" i="29"/>
  <c r="I31" i="7"/>
  <c r="I29" i="8"/>
  <c r="F29" i="5"/>
  <c r="H29" i="5" s="1"/>
  <c r="B29" i="5"/>
  <c r="F21" i="45"/>
  <c r="G21" i="45" s="1"/>
  <c r="B21" i="45"/>
  <c r="B33" i="10"/>
  <c r="F33" i="10"/>
  <c r="G33" i="10" s="1"/>
  <c r="B26" i="24"/>
  <c r="F26" i="24"/>
  <c r="H26" i="24" s="1"/>
  <c r="I27" i="25"/>
  <c r="I26" i="23"/>
  <c r="I30" i="11"/>
  <c r="B30" i="6"/>
  <c r="F30" i="6"/>
  <c r="H30" i="6" s="1"/>
  <c r="I23" i="28"/>
  <c r="I22" i="30"/>
  <c r="I28" i="4"/>
  <c r="B30" i="8"/>
  <c r="F30" i="8"/>
  <c r="H30" i="8" s="1"/>
  <c r="F28" i="22"/>
  <c r="H28" i="22" s="1"/>
  <c r="B28" i="22"/>
  <c r="I19" i="41"/>
  <c r="B19" i="43"/>
  <c r="I23" i="31"/>
  <c r="I28" i="3"/>
  <c r="I19" i="42"/>
  <c r="I25" i="24"/>
  <c r="D32" i="9"/>
  <c r="E32" i="9"/>
  <c r="B24" i="31"/>
  <c r="F24" i="31"/>
  <c r="G24" i="31" s="1"/>
  <c r="B21" i="39"/>
  <c r="F21" i="39"/>
  <c r="B27" i="23"/>
  <c r="F27" i="23"/>
  <c r="H27" i="23" s="1"/>
  <c r="F23" i="30"/>
  <c r="H23" i="30" s="1"/>
  <c r="B23" i="30"/>
  <c r="F20" i="42"/>
  <c r="G20" i="42" s="1"/>
  <c r="B20" i="42"/>
  <c r="F29" i="4"/>
  <c r="G29" i="4" s="1"/>
  <c r="B29" i="4"/>
  <c r="B32" i="7"/>
  <c r="F32" i="7"/>
  <c r="H32" i="7" s="1"/>
  <c r="F22" i="37"/>
  <c r="H22" i="37" s="1"/>
  <c r="B22" i="37"/>
  <c r="I28" i="5"/>
  <c r="D21" i="46"/>
  <c r="E21" i="46" s="1"/>
  <c r="I32" i="10"/>
  <c r="R132" i="1"/>
  <c r="B28" i="25"/>
  <c r="F28" i="25"/>
  <c r="H28" i="25" s="1"/>
  <c r="F31" i="11"/>
  <c r="G31" i="11" s="1"/>
  <c r="B31" i="11"/>
  <c r="B20" i="40"/>
  <c r="F20" i="40"/>
  <c r="G20" i="40" s="1"/>
  <c r="I29" i="6"/>
  <c r="I23" i="29"/>
  <c r="F24" i="28"/>
  <c r="G24" i="28" s="1"/>
  <c r="B24" i="28"/>
  <c r="F29" i="3"/>
  <c r="H29" i="3" s="1"/>
  <c r="B29" i="3"/>
  <c r="B21" i="38"/>
  <c r="F21" i="38"/>
  <c r="H21" i="38" s="1"/>
  <c r="I27" i="22"/>
  <c r="I19" i="40"/>
  <c r="I21" i="37"/>
  <c r="B103" i="13"/>
  <c r="E103" i="13"/>
  <c r="F103" i="13" s="1"/>
  <c r="I102" i="13"/>
  <c r="H102" i="13"/>
  <c r="O19" i="1" l="1"/>
  <c r="N7" i="13"/>
  <c r="H24" i="31"/>
  <c r="G23" i="30"/>
  <c r="H24" i="29"/>
  <c r="H24" i="28"/>
  <c r="G25" i="27"/>
  <c r="G28" i="25"/>
  <c r="G26" i="24"/>
  <c r="G27" i="23"/>
  <c r="G28" i="22"/>
  <c r="H31" i="11"/>
  <c r="H33" i="10"/>
  <c r="G30" i="8"/>
  <c r="G32" i="7"/>
  <c r="G30" i="6"/>
  <c r="G29" i="5"/>
  <c r="H29" i="4"/>
  <c r="G29" i="3"/>
  <c r="G47" i="17"/>
  <c r="H20" i="40"/>
  <c r="R133" i="1"/>
  <c r="N20" i="1"/>
  <c r="H21" i="44"/>
  <c r="D22" i="44"/>
  <c r="G21" i="44"/>
  <c r="I20" i="13"/>
  <c r="E21" i="13"/>
  <c r="F21" i="13" s="1"/>
  <c r="G21" i="13" s="1"/>
  <c r="B21" i="13"/>
  <c r="H20" i="42"/>
  <c r="I20" i="42" s="1"/>
  <c r="H20" i="41"/>
  <c r="E26" i="27"/>
  <c r="D26" i="27"/>
  <c r="R134" i="1"/>
  <c r="O20" i="1"/>
  <c r="D22" i="38"/>
  <c r="E22" i="38"/>
  <c r="D32" i="11"/>
  <c r="E32" i="11"/>
  <c r="D22" i="39"/>
  <c r="E22" i="39"/>
  <c r="D31" i="8"/>
  <c r="E31" i="8"/>
  <c r="D25" i="29"/>
  <c r="E25" i="29"/>
  <c r="I20" i="40"/>
  <c r="I20" i="41"/>
  <c r="D30" i="3"/>
  <c r="E30" i="3"/>
  <c r="D25" i="28"/>
  <c r="E25" i="28"/>
  <c r="F21" i="46"/>
  <c r="H21" i="46" s="1"/>
  <c r="B21" i="46"/>
  <c r="D30" i="4"/>
  <c r="E30" i="4"/>
  <c r="D21" i="42"/>
  <c r="E21" i="42"/>
  <c r="D28" i="23"/>
  <c r="E28" i="23"/>
  <c r="H21" i="39"/>
  <c r="D25" i="31"/>
  <c r="E25" i="31"/>
  <c r="B32" i="9"/>
  <c r="F32" i="9"/>
  <c r="H32" i="9" s="1"/>
  <c r="D20" i="43"/>
  <c r="E20" i="43"/>
  <c r="D27" i="24"/>
  <c r="E27" i="24"/>
  <c r="D34" i="10"/>
  <c r="E34" i="10"/>
  <c r="D21" i="41"/>
  <c r="E21" i="41"/>
  <c r="E23" i="37"/>
  <c r="D23" i="37"/>
  <c r="D24" i="30"/>
  <c r="E24" i="30"/>
  <c r="D22" i="45"/>
  <c r="E22" i="45" s="1"/>
  <c r="G21" i="38"/>
  <c r="D21" i="40"/>
  <c r="E21" i="40"/>
  <c r="D29" i="25"/>
  <c r="E29" i="25"/>
  <c r="G22" i="37"/>
  <c r="I22" i="37" s="1"/>
  <c r="D33" i="7"/>
  <c r="E33" i="7"/>
  <c r="G21" i="39"/>
  <c r="I31" i="9"/>
  <c r="D29" i="22"/>
  <c r="E29" i="22"/>
  <c r="D31" i="6"/>
  <c r="E31" i="6"/>
  <c r="H21" i="45"/>
  <c r="D30" i="5"/>
  <c r="E30" i="5"/>
  <c r="F48" i="17"/>
  <c r="G103" i="13"/>
  <c r="D104" i="13"/>
  <c r="E104" i="13" s="1"/>
  <c r="J102" i="13"/>
  <c r="G32" i="9" l="1"/>
  <c r="E22" i="44"/>
  <c r="F22" i="44" s="1"/>
  <c r="B22" i="44"/>
  <c r="I21" i="44"/>
  <c r="H21" i="13"/>
  <c r="I21" i="13" s="1"/>
  <c r="D22" i="13"/>
  <c r="I25" i="27"/>
  <c r="F26" i="27"/>
  <c r="H26" i="27" s="1"/>
  <c r="B26" i="27"/>
  <c r="B31" i="6"/>
  <c r="F31" i="6"/>
  <c r="H31" i="6" s="1"/>
  <c r="B25" i="31"/>
  <c r="F25" i="31"/>
  <c r="H25" i="31" s="1"/>
  <c r="F25" i="28"/>
  <c r="H25" i="28" s="1"/>
  <c r="B25" i="28"/>
  <c r="I21" i="45"/>
  <c r="I30" i="6"/>
  <c r="I28" i="22"/>
  <c r="I24" i="31"/>
  <c r="I29" i="4"/>
  <c r="B30" i="3"/>
  <c r="F30" i="3"/>
  <c r="H30" i="3" s="1"/>
  <c r="I30" i="8"/>
  <c r="F22" i="39"/>
  <c r="H22" i="39" s="1"/>
  <c r="B22" i="39"/>
  <c r="F23" i="37"/>
  <c r="H23" i="37" s="1"/>
  <c r="B23" i="37"/>
  <c r="D33" i="9"/>
  <c r="E33" i="9"/>
  <c r="B30" i="4"/>
  <c r="F30" i="4"/>
  <c r="H30" i="4" s="1"/>
  <c r="I28" i="25"/>
  <c r="B21" i="40"/>
  <c r="F21" i="40"/>
  <c r="G21" i="40" s="1"/>
  <c r="B22" i="45"/>
  <c r="F22" i="45"/>
  <c r="H22" i="45" s="1"/>
  <c r="B24" i="30"/>
  <c r="F24" i="30"/>
  <c r="H24" i="30" s="1"/>
  <c r="F21" i="41"/>
  <c r="H21" i="41" s="1"/>
  <c r="B21" i="41"/>
  <c r="F34" i="10"/>
  <c r="H34" i="10" s="1"/>
  <c r="B34" i="10"/>
  <c r="F27" i="24"/>
  <c r="H27" i="24" s="1"/>
  <c r="B27" i="24"/>
  <c r="I21" i="39"/>
  <c r="B28" i="23"/>
  <c r="F28" i="23"/>
  <c r="H28" i="23" s="1"/>
  <c r="B21" i="42"/>
  <c r="F21" i="42"/>
  <c r="H21" i="42" s="1"/>
  <c r="I24" i="29"/>
  <c r="I31" i="11"/>
  <c r="B22" i="38"/>
  <c r="F22" i="38"/>
  <c r="G22" i="38" s="1"/>
  <c r="F29" i="22"/>
  <c r="H29" i="22" s="1"/>
  <c r="B29" i="22"/>
  <c r="F33" i="7"/>
  <c r="H33" i="7" s="1"/>
  <c r="B33" i="7"/>
  <c r="I21" i="38"/>
  <c r="I27" i="23"/>
  <c r="D22" i="46"/>
  <c r="F25" i="29"/>
  <c r="H25" i="29" s="1"/>
  <c r="B25" i="29"/>
  <c r="I19" i="43"/>
  <c r="B32" i="11"/>
  <c r="F32" i="11"/>
  <c r="H32" i="11" s="1"/>
  <c r="I29" i="5"/>
  <c r="B30" i="5"/>
  <c r="F30" i="5"/>
  <c r="H30" i="5" s="1"/>
  <c r="I32" i="7"/>
  <c r="F29" i="25"/>
  <c r="G29" i="25" s="1"/>
  <c r="B29" i="25"/>
  <c r="I23" i="30"/>
  <c r="I33" i="10"/>
  <c r="I26" i="24"/>
  <c r="B20" i="43"/>
  <c r="F20" i="43"/>
  <c r="H20" i="43" s="1"/>
  <c r="G21" i="46"/>
  <c r="I21" i="46" s="1"/>
  <c r="I24" i="28"/>
  <c r="I29" i="3"/>
  <c r="F31" i="8"/>
  <c r="H31" i="8" s="1"/>
  <c r="B31" i="8"/>
  <c r="I103" i="13"/>
  <c r="H103" i="13"/>
  <c r="F104" i="13"/>
  <c r="B104" i="13"/>
  <c r="G25" i="31" l="1"/>
  <c r="G24" i="30"/>
  <c r="G25" i="29"/>
  <c r="G25" i="28"/>
  <c r="G26" i="27"/>
  <c r="H29" i="25"/>
  <c r="G27" i="24"/>
  <c r="G28" i="23"/>
  <c r="G29" i="22"/>
  <c r="G32" i="11"/>
  <c r="G34" i="10"/>
  <c r="G31" i="8"/>
  <c r="G33" i="7"/>
  <c r="G31" i="6"/>
  <c r="G30" i="5"/>
  <c r="G30" i="4"/>
  <c r="G30" i="3"/>
  <c r="G22" i="44"/>
  <c r="D23" i="44"/>
  <c r="H22" i="44"/>
  <c r="B22" i="13"/>
  <c r="E22" i="13"/>
  <c r="F22" i="13" s="1"/>
  <c r="G22" i="39"/>
  <c r="I22" i="39" s="1"/>
  <c r="G21" i="41"/>
  <c r="I21" i="41" s="1"/>
  <c r="H22" i="38"/>
  <c r="I22" i="38" s="1"/>
  <c r="G20" i="43"/>
  <c r="I20" i="43" s="1"/>
  <c r="G21" i="42"/>
  <c r="I21" i="42" s="1"/>
  <c r="H21" i="40"/>
  <c r="I21" i="40" s="1"/>
  <c r="D27" i="27"/>
  <c r="E27" i="27"/>
  <c r="D26" i="29"/>
  <c r="E26" i="29"/>
  <c r="D30" i="22"/>
  <c r="E30" i="22"/>
  <c r="F33" i="9"/>
  <c r="H33" i="9" s="1"/>
  <c r="B33" i="9"/>
  <c r="D26" i="28"/>
  <c r="E26" i="28"/>
  <c r="G22" i="45"/>
  <c r="I22" i="45" s="1"/>
  <c r="I32" i="9"/>
  <c r="D24" i="37"/>
  <c r="E24" i="37"/>
  <c r="D23" i="39"/>
  <c r="E23" i="39"/>
  <c r="D26" i="31"/>
  <c r="E26" i="31"/>
  <c r="D32" i="6"/>
  <c r="E32" i="6"/>
  <c r="D33" i="11"/>
  <c r="E33" i="11"/>
  <c r="B22" i="46"/>
  <c r="D31" i="4"/>
  <c r="E31" i="4"/>
  <c r="D31" i="3"/>
  <c r="E31" i="3"/>
  <c r="D21" i="43"/>
  <c r="E21" i="43"/>
  <c r="D34" i="7"/>
  <c r="E34" i="7"/>
  <c r="E35" i="10"/>
  <c r="D35" i="10"/>
  <c r="D22" i="41"/>
  <c r="E22" i="41"/>
  <c r="D22" i="40"/>
  <c r="E22" i="40"/>
  <c r="G23" i="37"/>
  <c r="I23" i="37" s="1"/>
  <c r="D31" i="5"/>
  <c r="E31" i="5"/>
  <c r="D28" i="24"/>
  <c r="E28" i="24"/>
  <c r="D32" i="8"/>
  <c r="E32" i="8"/>
  <c r="D30" i="25"/>
  <c r="E30" i="25"/>
  <c r="E22" i="46"/>
  <c r="F22" i="46" s="1"/>
  <c r="D23" i="38"/>
  <c r="E23" i="38"/>
  <c r="D22" i="42"/>
  <c r="E22" i="42"/>
  <c r="D29" i="23"/>
  <c r="E29" i="23"/>
  <c r="D25" i="30"/>
  <c r="E25" i="30"/>
  <c r="D23" i="45"/>
  <c r="E23" i="45" s="1"/>
  <c r="J103" i="13"/>
  <c r="G104" i="13"/>
  <c r="D105" i="13"/>
  <c r="E105" i="13" s="1"/>
  <c r="G33" i="9" l="1"/>
  <c r="I22" i="44"/>
  <c r="E23" i="44"/>
  <c r="F23" i="44"/>
  <c r="B23" i="44"/>
  <c r="G22" i="13"/>
  <c r="H22" i="13"/>
  <c r="D23" i="13"/>
  <c r="B23" i="13" s="1"/>
  <c r="I26" i="27"/>
  <c r="B27" i="27"/>
  <c r="F27" i="27"/>
  <c r="H27" i="27" s="1"/>
  <c r="D23" i="46"/>
  <c r="E23" i="46" s="1"/>
  <c r="G22" i="46"/>
  <c r="H22" i="46"/>
  <c r="B28" i="24"/>
  <c r="F28" i="24"/>
  <c r="H28" i="24" s="1"/>
  <c r="I32" i="11"/>
  <c r="B26" i="29"/>
  <c r="F26" i="29"/>
  <c r="H26" i="29" s="1"/>
  <c r="B22" i="42"/>
  <c r="F22" i="42"/>
  <c r="H22" i="42" s="1"/>
  <c r="B30" i="25"/>
  <c r="F30" i="25"/>
  <c r="H30" i="25" s="1"/>
  <c r="B32" i="8"/>
  <c r="F32" i="8"/>
  <c r="H32" i="8" s="1"/>
  <c r="B22" i="40"/>
  <c r="F22" i="40"/>
  <c r="H22" i="40" s="1"/>
  <c r="B35" i="10"/>
  <c r="F35" i="10"/>
  <c r="H35" i="10" s="1"/>
  <c r="F21" i="43"/>
  <c r="H21" i="43" s="1"/>
  <c r="B21" i="43"/>
  <c r="B32" i="6"/>
  <c r="F32" i="6"/>
  <c r="H32" i="6" s="1"/>
  <c r="B24" i="37"/>
  <c r="F24" i="37"/>
  <c r="G24" i="37" s="1"/>
  <c r="F26" i="28"/>
  <c r="G26" i="28" s="1"/>
  <c r="B26" i="28"/>
  <c r="D34" i="9"/>
  <c r="E34" i="9"/>
  <c r="F25" i="30"/>
  <c r="H25" i="30" s="1"/>
  <c r="B25" i="30"/>
  <c r="I28" i="23"/>
  <c r="B23" i="38"/>
  <c r="F23" i="38"/>
  <c r="G23" i="38" s="1"/>
  <c r="F31" i="5"/>
  <c r="H31" i="5" s="1"/>
  <c r="B31" i="5"/>
  <c r="I34" i="10"/>
  <c r="I30" i="4"/>
  <c r="F33" i="11"/>
  <c r="H33" i="11" s="1"/>
  <c r="B33" i="11"/>
  <c r="I31" i="6"/>
  <c r="B26" i="31"/>
  <c r="F26" i="31"/>
  <c r="G26" i="31" s="1"/>
  <c r="F23" i="39"/>
  <c r="B23" i="39"/>
  <c r="I29" i="22"/>
  <c r="I31" i="8"/>
  <c r="I33" i="7"/>
  <c r="B31" i="3"/>
  <c r="F31" i="3"/>
  <c r="H31" i="3" s="1"/>
  <c r="I25" i="31"/>
  <c r="F30" i="22"/>
  <c r="H30" i="22" s="1"/>
  <c r="B30" i="22"/>
  <c r="F23" i="45"/>
  <c r="H23" i="45" s="1"/>
  <c r="B23" i="45"/>
  <c r="I24" i="30"/>
  <c r="B29" i="23"/>
  <c r="F29" i="23"/>
  <c r="G29" i="23" s="1"/>
  <c r="I29" i="25"/>
  <c r="I27" i="24"/>
  <c r="I30" i="5"/>
  <c r="B22" i="41"/>
  <c r="F22" i="41"/>
  <c r="B34" i="7"/>
  <c r="F34" i="7"/>
  <c r="H34" i="7" s="1"/>
  <c r="I30" i="3"/>
  <c r="F31" i="4"/>
  <c r="H31" i="4" s="1"/>
  <c r="B31" i="4"/>
  <c r="I25" i="28"/>
  <c r="I25" i="29"/>
  <c r="H104" i="13"/>
  <c r="M88" i="13" s="1"/>
  <c r="M89" i="13" s="1"/>
  <c r="I104" i="13"/>
  <c r="N88" i="13" s="1"/>
  <c r="B105" i="13"/>
  <c r="F105" i="13"/>
  <c r="E23" i="13" l="1"/>
  <c r="F23" i="13" s="1"/>
  <c r="H23" i="13" s="1"/>
  <c r="N89" i="13"/>
  <c r="O88" i="13"/>
  <c r="O89" i="13" s="1"/>
  <c r="H26" i="31"/>
  <c r="G25" i="30"/>
  <c r="G26" i="29"/>
  <c r="H26" i="28"/>
  <c r="G27" i="27"/>
  <c r="G30" i="25"/>
  <c r="G28" i="24"/>
  <c r="H29" i="23"/>
  <c r="G30" i="22"/>
  <c r="G33" i="11"/>
  <c r="G35" i="10"/>
  <c r="G32" i="8"/>
  <c r="G34" i="7"/>
  <c r="G32" i="6"/>
  <c r="G31" i="5"/>
  <c r="G31" i="4"/>
  <c r="G31" i="3"/>
  <c r="I22" i="46"/>
  <c r="G21" i="43"/>
  <c r="I21" i="43" s="1"/>
  <c r="H23" i="44"/>
  <c r="D24" i="44"/>
  <c r="G23" i="44"/>
  <c r="H23" i="38"/>
  <c r="I23" i="38" s="1"/>
  <c r="I22" i="13"/>
  <c r="G22" i="42"/>
  <c r="I22" i="42" s="1"/>
  <c r="H24" i="37"/>
  <c r="I24" i="37" s="1"/>
  <c r="D28" i="27"/>
  <c r="E28" i="27"/>
  <c r="D24" i="39"/>
  <c r="E24" i="39"/>
  <c r="D35" i="7"/>
  <c r="E35" i="7"/>
  <c r="D30" i="23"/>
  <c r="E30" i="23"/>
  <c r="D32" i="3"/>
  <c r="E32" i="3"/>
  <c r="G23" i="39"/>
  <c r="D27" i="31"/>
  <c r="E27" i="31"/>
  <c r="D24" i="38"/>
  <c r="E24" i="38"/>
  <c r="D33" i="6"/>
  <c r="E33" i="6"/>
  <c r="D22" i="43"/>
  <c r="E22" i="43"/>
  <c r="G22" i="40"/>
  <c r="I22" i="40" s="1"/>
  <c r="D33" i="8"/>
  <c r="E33" i="8"/>
  <c r="D23" i="42"/>
  <c r="E23" i="42"/>
  <c r="D27" i="29"/>
  <c r="E27" i="29"/>
  <c r="D29" i="24"/>
  <c r="E29" i="24"/>
  <c r="D23" i="41"/>
  <c r="E23" i="41"/>
  <c r="D24" i="45"/>
  <c r="F34" i="9"/>
  <c r="H34" i="9" s="1"/>
  <c r="B34" i="9"/>
  <c r="D32" i="4"/>
  <c r="E32" i="4"/>
  <c r="H22" i="41"/>
  <c r="G23" i="45"/>
  <c r="I23" i="45" s="1"/>
  <c r="D31" i="22"/>
  <c r="E31" i="22"/>
  <c r="D34" i="11"/>
  <c r="E34" i="11"/>
  <c r="D32" i="5"/>
  <c r="E32" i="5"/>
  <c r="D26" i="30"/>
  <c r="E26" i="30"/>
  <c r="D27" i="28"/>
  <c r="E27" i="28"/>
  <c r="D25" i="37"/>
  <c r="E25" i="37"/>
  <c r="F23" i="46"/>
  <c r="G23" i="46" s="1"/>
  <c r="B23" i="46"/>
  <c r="G22" i="41"/>
  <c r="H23" i="39"/>
  <c r="I33" i="9"/>
  <c r="D36" i="10"/>
  <c r="E36" i="10"/>
  <c r="D23" i="40"/>
  <c r="E23" i="40"/>
  <c r="D31" i="25"/>
  <c r="E31" i="25"/>
  <c r="J104" i="13"/>
  <c r="G105" i="13"/>
  <c r="D106" i="13"/>
  <c r="E106" i="13" s="1"/>
  <c r="G23" i="13" l="1"/>
  <c r="I23" i="13" s="1"/>
  <c r="D24" i="13"/>
  <c r="G34" i="9"/>
  <c r="I27" i="27"/>
  <c r="E24" i="44"/>
  <c r="F24" i="44" s="1"/>
  <c r="B24" i="44"/>
  <c r="I23" i="44"/>
  <c r="F28" i="27"/>
  <c r="G28" i="27" s="1"/>
  <c r="B28" i="27"/>
  <c r="I23" i="39"/>
  <c r="B27" i="28"/>
  <c r="F27" i="28"/>
  <c r="H27" i="28" s="1"/>
  <c r="E35" i="9"/>
  <c r="D35" i="9"/>
  <c r="B23" i="41"/>
  <c r="F23" i="41"/>
  <c r="G23" i="41" s="1"/>
  <c r="I32" i="6"/>
  <c r="F35" i="7"/>
  <c r="G35" i="7" s="1"/>
  <c r="B35" i="7"/>
  <c r="B36" i="10"/>
  <c r="F36" i="10"/>
  <c r="H36" i="10" s="1"/>
  <c r="B25" i="37"/>
  <c r="F25" i="37"/>
  <c r="H25" i="37" s="1"/>
  <c r="B34" i="11"/>
  <c r="F34" i="11"/>
  <c r="H34" i="11" s="1"/>
  <c r="F31" i="22"/>
  <c r="G31" i="22" s="1"/>
  <c r="B31" i="22"/>
  <c r="B24" i="45"/>
  <c r="F33" i="8"/>
  <c r="H33" i="8" s="1"/>
  <c r="B33" i="8"/>
  <c r="B22" i="43"/>
  <c r="F22" i="43"/>
  <c r="H22" i="43" s="1"/>
  <c r="I26" i="31"/>
  <c r="B31" i="25"/>
  <c r="F31" i="25"/>
  <c r="G31" i="25" s="1"/>
  <c r="F32" i="5"/>
  <c r="H32" i="5" s="1"/>
  <c r="B32" i="5"/>
  <c r="I30" i="25"/>
  <c r="B32" i="4"/>
  <c r="F32" i="4"/>
  <c r="H32" i="4" s="1"/>
  <c r="E24" i="45"/>
  <c r="F24" i="45" s="1"/>
  <c r="I28" i="24"/>
  <c r="F27" i="29"/>
  <c r="H27" i="29" s="1"/>
  <c r="B27" i="29"/>
  <c r="B23" i="42"/>
  <c r="F23" i="42"/>
  <c r="I32" i="8"/>
  <c r="F32" i="3"/>
  <c r="H32" i="3" s="1"/>
  <c r="B32" i="3"/>
  <c r="B30" i="23"/>
  <c r="F30" i="23"/>
  <c r="H30" i="23" s="1"/>
  <c r="I34" i="7"/>
  <c r="B24" i="39"/>
  <c r="F24" i="39"/>
  <c r="G24" i="39" s="1"/>
  <c r="D24" i="46"/>
  <c r="E24" i="46" s="1"/>
  <c r="F26" i="30"/>
  <c r="H26" i="30" s="1"/>
  <c r="B26" i="30"/>
  <c r="B29" i="24"/>
  <c r="F29" i="24"/>
  <c r="G29" i="24" s="1"/>
  <c r="B23" i="40"/>
  <c r="F23" i="40"/>
  <c r="H23" i="40" s="1"/>
  <c r="I35" i="10"/>
  <c r="H23" i="46"/>
  <c r="I23" i="46" s="1"/>
  <c r="I26" i="28"/>
  <c r="I25" i="30"/>
  <c r="I31" i="5"/>
  <c r="I33" i="11"/>
  <c r="I30" i="22"/>
  <c r="I22" i="41"/>
  <c r="I31" i="4"/>
  <c r="I26" i="29"/>
  <c r="B33" i="6"/>
  <c r="F33" i="6"/>
  <c r="H33" i="6" s="1"/>
  <c r="B24" i="38"/>
  <c r="F24" i="38"/>
  <c r="H24" i="38" s="1"/>
  <c r="F27" i="31"/>
  <c r="H27" i="31" s="1"/>
  <c r="B27" i="31"/>
  <c r="I31" i="3"/>
  <c r="I29" i="23"/>
  <c r="I105" i="13"/>
  <c r="H105" i="13"/>
  <c r="B106" i="13"/>
  <c r="F106" i="13"/>
  <c r="B24" i="13" l="1"/>
  <c r="E24" i="13"/>
  <c r="F24" i="13" s="1"/>
  <c r="H24" i="13" s="1"/>
  <c r="H23" i="41"/>
  <c r="I23" i="41" s="1"/>
  <c r="G27" i="31"/>
  <c r="G26" i="30"/>
  <c r="G27" i="29"/>
  <c r="G27" i="28"/>
  <c r="H28" i="27"/>
  <c r="H31" i="25"/>
  <c r="H29" i="24"/>
  <c r="G30" i="23"/>
  <c r="H31" i="22"/>
  <c r="I31" i="22" s="1"/>
  <c r="G34" i="11"/>
  <c r="G36" i="10"/>
  <c r="G33" i="8"/>
  <c r="H35" i="7"/>
  <c r="G33" i="6"/>
  <c r="G32" i="5"/>
  <c r="G32" i="4"/>
  <c r="G32" i="3"/>
  <c r="G24" i="44"/>
  <c r="H24" i="44"/>
  <c r="D25" i="44"/>
  <c r="G25" i="37"/>
  <c r="I25" i="37" s="1"/>
  <c r="E29" i="27"/>
  <c r="D29" i="27"/>
  <c r="D25" i="45"/>
  <c r="G24" i="45"/>
  <c r="H24" i="45"/>
  <c r="D33" i="5"/>
  <c r="E33" i="5"/>
  <c r="D32" i="22"/>
  <c r="E32" i="22"/>
  <c r="D24" i="40"/>
  <c r="E24" i="40"/>
  <c r="D25" i="39"/>
  <c r="E25" i="39"/>
  <c r="D24" i="42"/>
  <c r="E24" i="42"/>
  <c r="D32" i="25"/>
  <c r="E32" i="25"/>
  <c r="D35" i="11"/>
  <c r="E35" i="11"/>
  <c r="I34" i="9"/>
  <c r="D28" i="28"/>
  <c r="E28" i="28"/>
  <c r="D28" i="31"/>
  <c r="E28" i="31"/>
  <c r="D25" i="38"/>
  <c r="E25" i="38"/>
  <c r="D34" i="6"/>
  <c r="E34" i="6"/>
  <c r="D27" i="30"/>
  <c r="E27" i="30"/>
  <c r="H24" i="39"/>
  <c r="D33" i="3"/>
  <c r="E33" i="3"/>
  <c r="G23" i="42"/>
  <c r="D28" i="29"/>
  <c r="E28" i="29"/>
  <c r="D23" i="43"/>
  <c r="E23" i="43"/>
  <c r="D34" i="8"/>
  <c r="E34" i="8"/>
  <c r="D36" i="7"/>
  <c r="E36" i="7"/>
  <c r="B35" i="9"/>
  <c r="F35" i="9"/>
  <c r="H35" i="9" s="1"/>
  <c r="G24" i="38"/>
  <c r="I24" i="38" s="1"/>
  <c r="G23" i="40"/>
  <c r="I23" i="40" s="1"/>
  <c r="D30" i="24"/>
  <c r="E30" i="24"/>
  <c r="B24" i="46"/>
  <c r="F24" i="46"/>
  <c r="G24" i="46" s="1"/>
  <c r="D31" i="23"/>
  <c r="E31" i="23"/>
  <c r="H23" i="42"/>
  <c r="D33" i="4"/>
  <c r="E33" i="4"/>
  <c r="G22" i="43"/>
  <c r="I22" i="43" s="1"/>
  <c r="D26" i="37"/>
  <c r="E26" i="37"/>
  <c r="E37" i="10"/>
  <c r="D37" i="10"/>
  <c r="D24" i="41"/>
  <c r="E24" i="41"/>
  <c r="D107" i="13"/>
  <c r="E107" i="13" s="1"/>
  <c r="G106" i="13"/>
  <c r="J105" i="13"/>
  <c r="D25" i="13" l="1"/>
  <c r="G24" i="13"/>
  <c r="I24" i="13" s="1"/>
  <c r="I24" i="44"/>
  <c r="G35" i="9"/>
  <c r="B25" i="44"/>
  <c r="E25" i="44"/>
  <c r="F25" i="44" s="1"/>
  <c r="I28" i="27"/>
  <c r="I36" i="10"/>
  <c r="I31" i="25"/>
  <c r="I27" i="29"/>
  <c r="I34" i="11"/>
  <c r="I29" i="24"/>
  <c r="I32" i="4"/>
  <c r="I27" i="28"/>
  <c r="I24" i="45"/>
  <c r="I35" i="7"/>
  <c r="I32" i="5"/>
  <c r="F29" i="27"/>
  <c r="H29" i="27" s="1"/>
  <c r="B29" i="27"/>
  <c r="B33" i="3"/>
  <c r="F33" i="3"/>
  <c r="H33" i="3" s="1"/>
  <c r="F28" i="28"/>
  <c r="G28" i="28" s="1"/>
  <c r="B28" i="28"/>
  <c r="B31" i="23"/>
  <c r="F31" i="23"/>
  <c r="H31" i="23" s="1"/>
  <c r="B30" i="24"/>
  <c r="F30" i="24"/>
  <c r="H30" i="24" s="1"/>
  <c r="F34" i="8"/>
  <c r="H34" i="8" s="1"/>
  <c r="B34" i="8"/>
  <c r="I24" i="39"/>
  <c r="B34" i="6"/>
  <c r="F34" i="6"/>
  <c r="H34" i="6" s="1"/>
  <c r="B28" i="31"/>
  <c r="F28" i="31"/>
  <c r="G28" i="31" s="1"/>
  <c r="B32" i="25"/>
  <c r="F32" i="25"/>
  <c r="H32" i="25" s="1"/>
  <c r="F24" i="42"/>
  <c r="G24" i="42" s="1"/>
  <c r="B24" i="42"/>
  <c r="F24" i="40"/>
  <c r="H24" i="40" s="1"/>
  <c r="B24" i="40"/>
  <c r="F27" i="30"/>
  <c r="H27" i="30" s="1"/>
  <c r="B27" i="30"/>
  <c r="B24" i="41"/>
  <c r="F24" i="41"/>
  <c r="I23" i="42"/>
  <c r="B28" i="29"/>
  <c r="F28" i="29"/>
  <c r="H28" i="29" s="1"/>
  <c r="I32" i="3"/>
  <c r="I27" i="31"/>
  <c r="B35" i="11"/>
  <c r="F35" i="11"/>
  <c r="G35" i="11" s="1"/>
  <c r="B25" i="45"/>
  <c r="F33" i="4"/>
  <c r="G33" i="4" s="1"/>
  <c r="B33" i="4"/>
  <c r="D25" i="46"/>
  <c r="E25" i="46" s="1"/>
  <c r="F37" i="10"/>
  <c r="G37" i="10" s="1"/>
  <c r="B37" i="10"/>
  <c r="F26" i="37"/>
  <c r="B26" i="37"/>
  <c r="I30" i="23"/>
  <c r="H24" i="46"/>
  <c r="I24" i="46" s="1"/>
  <c r="E36" i="9"/>
  <c r="D36" i="9"/>
  <c r="B36" i="7"/>
  <c r="F36" i="7"/>
  <c r="H36" i="7" s="1"/>
  <c r="I33" i="8"/>
  <c r="B23" i="43"/>
  <c r="F23" i="43"/>
  <c r="I26" i="30"/>
  <c r="I33" i="6"/>
  <c r="F25" i="38"/>
  <c r="G25" i="38" s="1"/>
  <c r="B25" i="38"/>
  <c r="F25" i="39"/>
  <c r="H25" i="39" s="1"/>
  <c r="B25" i="39"/>
  <c r="F32" i="22"/>
  <c r="H32" i="22" s="1"/>
  <c r="B32" i="22"/>
  <c r="B33" i="5"/>
  <c r="F33" i="5"/>
  <c r="H33" i="5" s="1"/>
  <c r="E25" i="45"/>
  <c r="F25" i="45" s="1"/>
  <c r="H106" i="13"/>
  <c r="I106" i="13"/>
  <c r="F107" i="13"/>
  <c r="B107" i="13"/>
  <c r="B25" i="13" l="1"/>
  <c r="E25" i="13"/>
  <c r="F25" i="13" s="1"/>
  <c r="H28" i="31"/>
  <c r="G27" i="30"/>
  <c r="G28" i="29"/>
  <c r="H28" i="28"/>
  <c r="G29" i="27"/>
  <c r="G32" i="25"/>
  <c r="G30" i="24"/>
  <c r="G31" i="23"/>
  <c r="G32" i="22"/>
  <c r="H35" i="11"/>
  <c r="H37" i="10"/>
  <c r="G34" i="8"/>
  <c r="G36" i="7"/>
  <c r="G34" i="6"/>
  <c r="G33" i="5"/>
  <c r="H33" i="4"/>
  <c r="G33" i="3"/>
  <c r="D26" i="44"/>
  <c r="H25" i="44"/>
  <c r="G25" i="44"/>
  <c r="G24" i="40"/>
  <c r="I24" i="40" s="1"/>
  <c r="H24" i="42"/>
  <c r="I24" i="42" s="1"/>
  <c r="E30" i="27"/>
  <c r="D30" i="27"/>
  <c r="D26" i="45"/>
  <c r="E26" i="45" s="1"/>
  <c r="H25" i="45"/>
  <c r="G25" i="45"/>
  <c r="D24" i="43"/>
  <c r="E24" i="43"/>
  <c r="D27" i="37"/>
  <c r="E27" i="37"/>
  <c r="D34" i="4"/>
  <c r="E34" i="4"/>
  <c r="D29" i="31"/>
  <c r="E29" i="31"/>
  <c r="D31" i="24"/>
  <c r="E31" i="24"/>
  <c r="D33" i="22"/>
  <c r="E33" i="22"/>
  <c r="D26" i="39"/>
  <c r="E26" i="39"/>
  <c r="D26" i="38"/>
  <c r="E26" i="38"/>
  <c r="H23" i="43"/>
  <c r="D37" i="7"/>
  <c r="E37" i="7"/>
  <c r="B36" i="9"/>
  <c r="F36" i="9"/>
  <c r="H36" i="9" s="1"/>
  <c r="H26" i="37"/>
  <c r="D36" i="11"/>
  <c r="E36" i="11"/>
  <c r="D29" i="29"/>
  <c r="E29" i="29"/>
  <c r="D28" i="30"/>
  <c r="E28" i="30"/>
  <c r="D25" i="42"/>
  <c r="E25" i="42"/>
  <c r="D29" i="28"/>
  <c r="E29" i="28"/>
  <c r="D25" i="41"/>
  <c r="E25" i="41"/>
  <c r="D34" i="5"/>
  <c r="E34" i="5"/>
  <c r="G25" i="39"/>
  <c r="I25" i="39" s="1"/>
  <c r="H25" i="38"/>
  <c r="I25" i="38" s="1"/>
  <c r="E38" i="10"/>
  <c r="D38" i="10"/>
  <c r="F25" i="46"/>
  <c r="G25" i="46" s="1"/>
  <c r="B25" i="46"/>
  <c r="H24" i="41"/>
  <c r="D25" i="40"/>
  <c r="E25" i="40"/>
  <c r="D35" i="6"/>
  <c r="E35" i="6"/>
  <c r="D32" i="23"/>
  <c r="E32" i="23"/>
  <c r="D34" i="3"/>
  <c r="E34" i="3"/>
  <c r="G23" i="43"/>
  <c r="I35" i="9"/>
  <c r="G26" i="37"/>
  <c r="G24" i="41"/>
  <c r="D33" i="25"/>
  <c r="E33" i="25"/>
  <c r="D35" i="8"/>
  <c r="E35" i="8"/>
  <c r="J106" i="13"/>
  <c r="G107" i="13"/>
  <c r="D108" i="13"/>
  <c r="E108" i="13" s="1"/>
  <c r="D26" i="13" l="1"/>
  <c r="H25" i="13"/>
  <c r="G25" i="13"/>
  <c r="G36" i="9"/>
  <c r="I36" i="7"/>
  <c r="I25" i="44"/>
  <c r="E26" i="44"/>
  <c r="F26" i="44" s="1"/>
  <c r="B26" i="44"/>
  <c r="I29" i="27"/>
  <c r="I28" i="31"/>
  <c r="I32" i="22"/>
  <c r="I34" i="8"/>
  <c r="B30" i="27"/>
  <c r="F30" i="27"/>
  <c r="G30" i="27" s="1"/>
  <c r="I26" i="37"/>
  <c r="I37" i="10"/>
  <c r="I33" i="5"/>
  <c r="I27" i="30"/>
  <c r="I28" i="29"/>
  <c r="I35" i="11"/>
  <c r="I33" i="3"/>
  <c r="I34" i="6"/>
  <c r="I24" i="41"/>
  <c r="B35" i="8"/>
  <c r="F35" i="8"/>
  <c r="G35" i="8" s="1"/>
  <c r="F32" i="23"/>
  <c r="H32" i="23" s="1"/>
  <c r="B32" i="23"/>
  <c r="F25" i="40"/>
  <c r="H25" i="40" s="1"/>
  <c r="B25" i="40"/>
  <c r="I28" i="28"/>
  <c r="E37" i="9"/>
  <c r="D37" i="9"/>
  <c r="B26" i="38"/>
  <c r="F26" i="38"/>
  <c r="H26" i="38" s="1"/>
  <c r="B31" i="24"/>
  <c r="F31" i="24"/>
  <c r="H31" i="24" s="1"/>
  <c r="B34" i="4"/>
  <c r="F34" i="4"/>
  <c r="H34" i="4" s="1"/>
  <c r="F24" i="43"/>
  <c r="B24" i="43"/>
  <c r="B26" i="45"/>
  <c r="F26" i="45"/>
  <c r="F34" i="5"/>
  <c r="H34" i="5" s="1"/>
  <c r="B34" i="5"/>
  <c r="I32" i="25"/>
  <c r="F34" i="3"/>
  <c r="H34" i="3" s="1"/>
  <c r="B34" i="3"/>
  <c r="I31" i="23"/>
  <c r="B35" i="6"/>
  <c r="F35" i="6"/>
  <c r="H35" i="6" s="1"/>
  <c r="F28" i="30"/>
  <c r="H28" i="30" s="1"/>
  <c r="B28" i="30"/>
  <c r="B37" i="7"/>
  <c r="F37" i="7"/>
  <c r="H37" i="7" s="1"/>
  <c r="D26" i="46"/>
  <c r="B25" i="41"/>
  <c r="F25" i="41"/>
  <c r="H25" i="41" s="1"/>
  <c r="B33" i="25"/>
  <c r="F33" i="25"/>
  <c r="G33" i="25" s="1"/>
  <c r="H25" i="46"/>
  <c r="I25" i="46" s="1"/>
  <c r="B38" i="10"/>
  <c r="F38" i="10"/>
  <c r="H38" i="10" s="1"/>
  <c r="B29" i="28"/>
  <c r="F29" i="28"/>
  <c r="H29" i="28" s="1"/>
  <c r="F25" i="42"/>
  <c r="B25" i="42"/>
  <c r="F29" i="29"/>
  <c r="H29" i="29" s="1"/>
  <c r="B29" i="29"/>
  <c r="F36" i="11"/>
  <c r="H36" i="11" s="1"/>
  <c r="B36" i="11"/>
  <c r="I23" i="43"/>
  <c r="F26" i="39"/>
  <c r="H26" i="39" s="1"/>
  <c r="B26" i="39"/>
  <c r="F33" i="22"/>
  <c r="H33" i="22" s="1"/>
  <c r="B33" i="22"/>
  <c r="I30" i="24"/>
  <c r="F29" i="31"/>
  <c r="H29" i="31" s="1"/>
  <c r="B29" i="31"/>
  <c r="I33" i="4"/>
  <c r="F27" i="37"/>
  <c r="B27" i="37"/>
  <c r="I25" i="45"/>
  <c r="H107" i="13"/>
  <c r="I107" i="13"/>
  <c r="B108" i="13"/>
  <c r="F108" i="13"/>
  <c r="I25" i="13" l="1"/>
  <c r="E26" i="13"/>
  <c r="B26" i="13"/>
  <c r="F26" i="13"/>
  <c r="G29" i="31"/>
  <c r="G28" i="30"/>
  <c r="G29" i="29"/>
  <c r="G29" i="28"/>
  <c r="H30" i="27"/>
  <c r="H33" i="25"/>
  <c r="G31" i="24"/>
  <c r="G32" i="23"/>
  <c r="G33" i="22"/>
  <c r="G36" i="11"/>
  <c r="G38" i="10"/>
  <c r="H35" i="8"/>
  <c r="G37" i="7"/>
  <c r="G35" i="6"/>
  <c r="G34" i="5"/>
  <c r="G34" i="4"/>
  <c r="G34" i="3"/>
  <c r="H26" i="44"/>
  <c r="G26" i="44"/>
  <c r="D27" i="44"/>
  <c r="G26" i="38"/>
  <c r="I26" i="38" s="1"/>
  <c r="G26" i="39"/>
  <c r="I26" i="39" s="1"/>
  <c r="E31" i="27"/>
  <c r="D31" i="27"/>
  <c r="E28" i="37"/>
  <c r="D28" i="37"/>
  <c r="D38" i="7"/>
  <c r="E38" i="7"/>
  <c r="D35" i="3"/>
  <c r="E35" i="3"/>
  <c r="D25" i="43"/>
  <c r="E25" i="43"/>
  <c r="G27" i="37"/>
  <c r="D37" i="11"/>
  <c r="E37" i="11"/>
  <c r="D26" i="42"/>
  <c r="E26" i="42"/>
  <c r="D34" i="25"/>
  <c r="E34" i="25"/>
  <c r="D26" i="41"/>
  <c r="E26" i="41"/>
  <c r="D27" i="45"/>
  <c r="G24" i="43"/>
  <c r="D35" i="4"/>
  <c r="E35" i="4"/>
  <c r="B37" i="9"/>
  <c r="F37" i="9"/>
  <c r="G37" i="9" s="1"/>
  <c r="D26" i="40"/>
  <c r="E26" i="40"/>
  <c r="D30" i="28"/>
  <c r="E30" i="28"/>
  <c r="B26" i="46"/>
  <c r="D36" i="6"/>
  <c r="E36" i="6"/>
  <c r="D35" i="5"/>
  <c r="E35" i="5"/>
  <c r="H27" i="37"/>
  <c r="D34" i="22"/>
  <c r="E34" i="22"/>
  <c r="D27" i="39"/>
  <c r="E27" i="39"/>
  <c r="G25" i="42"/>
  <c r="E39" i="10"/>
  <c r="D39" i="10"/>
  <c r="H26" i="45"/>
  <c r="D27" i="38"/>
  <c r="E27" i="38"/>
  <c r="I36" i="9"/>
  <c r="G25" i="40"/>
  <c r="I25" i="40" s="1"/>
  <c r="D36" i="8"/>
  <c r="E36" i="8"/>
  <c r="D30" i="31"/>
  <c r="E30" i="31"/>
  <c r="D30" i="29"/>
  <c r="E30" i="29"/>
  <c r="H25" i="42"/>
  <c r="G25" i="41"/>
  <c r="I25" i="41" s="1"/>
  <c r="E26" i="46"/>
  <c r="F26" i="46" s="1"/>
  <c r="D29" i="30"/>
  <c r="E29" i="30"/>
  <c r="G26" i="45"/>
  <c r="H24" i="43"/>
  <c r="D32" i="24"/>
  <c r="E32" i="24"/>
  <c r="D33" i="23"/>
  <c r="E33" i="23"/>
  <c r="J107" i="13"/>
  <c r="G108" i="13"/>
  <c r="D109" i="13"/>
  <c r="E109" i="13" s="1"/>
  <c r="G26" i="13" l="1"/>
  <c r="D27" i="13"/>
  <c r="H26" i="13"/>
  <c r="I26" i="13" s="1"/>
  <c r="I26" i="44"/>
  <c r="H37" i="9"/>
  <c r="I33" i="22"/>
  <c r="I34" i="4"/>
  <c r="E27" i="44"/>
  <c r="F27" i="44" s="1"/>
  <c r="B27" i="44"/>
  <c r="I25" i="42"/>
  <c r="I27" i="37"/>
  <c r="I34" i="5"/>
  <c r="I37" i="7"/>
  <c r="I29" i="31"/>
  <c r="I35" i="6"/>
  <c r="I30" i="27"/>
  <c r="I29" i="29"/>
  <c r="I36" i="11"/>
  <c r="I26" i="45"/>
  <c r="I38" i="10"/>
  <c r="I29" i="28"/>
  <c r="F31" i="27"/>
  <c r="H31" i="27" s="1"/>
  <c r="B31" i="27"/>
  <c r="D27" i="46"/>
  <c r="G26" i="46"/>
  <c r="H26" i="46"/>
  <c r="B32" i="24"/>
  <c r="F32" i="24"/>
  <c r="H32" i="24" s="1"/>
  <c r="F30" i="29"/>
  <c r="H30" i="29" s="1"/>
  <c r="B30" i="29"/>
  <c r="F39" i="10"/>
  <c r="H39" i="10" s="1"/>
  <c r="B39" i="10"/>
  <c r="F30" i="28"/>
  <c r="G30" i="28" s="1"/>
  <c r="B30" i="28"/>
  <c r="B26" i="40"/>
  <c r="F26" i="40"/>
  <c r="H26" i="40" s="1"/>
  <c r="B27" i="45"/>
  <c r="B25" i="43"/>
  <c r="F25" i="43"/>
  <c r="I34" i="3"/>
  <c r="I24" i="43"/>
  <c r="I28" i="30"/>
  <c r="B36" i="8"/>
  <c r="F36" i="8"/>
  <c r="H36" i="8" s="1"/>
  <c r="B34" i="22"/>
  <c r="F34" i="22"/>
  <c r="H34" i="22" s="1"/>
  <c r="F35" i="5"/>
  <c r="H35" i="5" s="1"/>
  <c r="B35" i="5"/>
  <c r="F36" i="6"/>
  <c r="H36" i="6" s="1"/>
  <c r="B36" i="6"/>
  <c r="E38" i="9"/>
  <c r="D38" i="9"/>
  <c r="B35" i="4"/>
  <c r="F35" i="4"/>
  <c r="H35" i="4" s="1"/>
  <c r="E27" i="45"/>
  <c r="F27" i="45" s="1"/>
  <c r="F34" i="25"/>
  <c r="H34" i="25" s="1"/>
  <c r="B34" i="25"/>
  <c r="B26" i="42"/>
  <c r="F26" i="42"/>
  <c r="H26" i="42" s="1"/>
  <c r="F37" i="11"/>
  <c r="H37" i="11" s="1"/>
  <c r="B37" i="11"/>
  <c r="F30" i="31"/>
  <c r="G30" i="31" s="1"/>
  <c r="B30" i="31"/>
  <c r="B26" i="41"/>
  <c r="F26" i="41"/>
  <c r="H26" i="41" s="1"/>
  <c r="B38" i="7"/>
  <c r="F38" i="7"/>
  <c r="H38" i="7" s="1"/>
  <c r="B33" i="23"/>
  <c r="F33" i="23"/>
  <c r="G33" i="23" s="1"/>
  <c r="I32" i="23"/>
  <c r="I31" i="24"/>
  <c r="F29" i="30"/>
  <c r="H29" i="30" s="1"/>
  <c r="B29" i="30"/>
  <c r="I35" i="8"/>
  <c r="B27" i="38"/>
  <c r="F27" i="38"/>
  <c r="G27" i="38" s="1"/>
  <c r="B27" i="39"/>
  <c r="F27" i="39"/>
  <c r="H27" i="39" s="1"/>
  <c r="I33" i="25"/>
  <c r="F35" i="3"/>
  <c r="H35" i="3" s="1"/>
  <c r="B35" i="3"/>
  <c r="B28" i="37"/>
  <c r="F28" i="37"/>
  <c r="I108" i="13"/>
  <c r="H108" i="13"/>
  <c r="F109" i="13"/>
  <c r="B109" i="13"/>
  <c r="E27" i="13" l="1"/>
  <c r="F27" i="13" s="1"/>
  <c r="B27" i="13"/>
  <c r="H30" i="31"/>
  <c r="G29" i="30"/>
  <c r="G30" i="29"/>
  <c r="H30" i="28"/>
  <c r="G31" i="27"/>
  <c r="G34" i="25"/>
  <c r="G32" i="24"/>
  <c r="H33" i="23"/>
  <c r="G34" i="22"/>
  <c r="G37" i="11"/>
  <c r="G39" i="10"/>
  <c r="G36" i="8"/>
  <c r="G38" i="7"/>
  <c r="G36" i="6"/>
  <c r="G35" i="5"/>
  <c r="G35" i="4"/>
  <c r="G35" i="3"/>
  <c r="G26" i="42"/>
  <c r="I26" i="42" s="1"/>
  <c r="H27" i="44"/>
  <c r="D28" i="44"/>
  <c r="G27" i="44"/>
  <c r="I26" i="46"/>
  <c r="D32" i="27"/>
  <c r="E32" i="27"/>
  <c r="D28" i="45"/>
  <c r="E28" i="45" s="1"/>
  <c r="H27" i="45"/>
  <c r="G27" i="45"/>
  <c r="D38" i="11"/>
  <c r="E38" i="11"/>
  <c r="D26" i="43"/>
  <c r="E26" i="43"/>
  <c r="D28" i="39"/>
  <c r="E28" i="39"/>
  <c r="D28" i="38"/>
  <c r="E28" i="38"/>
  <c r="D36" i="5"/>
  <c r="E36" i="5"/>
  <c r="G25" i="43"/>
  <c r="G26" i="40"/>
  <c r="I26" i="40" s="1"/>
  <c r="D31" i="28"/>
  <c r="E31" i="28"/>
  <c r="D31" i="29"/>
  <c r="E31" i="29"/>
  <c r="D36" i="4"/>
  <c r="E36" i="4"/>
  <c r="D37" i="8"/>
  <c r="E37" i="8"/>
  <c r="D29" i="37"/>
  <c r="E29" i="37"/>
  <c r="G28" i="37"/>
  <c r="D36" i="3"/>
  <c r="E36" i="3"/>
  <c r="H27" i="38"/>
  <c r="I27" i="38" s="1"/>
  <c r="D34" i="23"/>
  <c r="E34" i="23"/>
  <c r="D27" i="41"/>
  <c r="E27" i="41"/>
  <c r="D35" i="25"/>
  <c r="E35" i="25"/>
  <c r="B38" i="9"/>
  <c r="F38" i="9"/>
  <c r="H38" i="9" s="1"/>
  <c r="D35" i="22"/>
  <c r="E35" i="22"/>
  <c r="D33" i="24"/>
  <c r="E33" i="24"/>
  <c r="B27" i="46"/>
  <c r="D39" i="7"/>
  <c r="E39" i="7"/>
  <c r="D27" i="40"/>
  <c r="E27" i="40"/>
  <c r="H28" i="37"/>
  <c r="G27" i="39"/>
  <c r="I27" i="39" s="1"/>
  <c r="D30" i="30"/>
  <c r="E30" i="30"/>
  <c r="G26" i="41"/>
  <c r="I26" i="41" s="1"/>
  <c r="D31" i="31"/>
  <c r="E31" i="31"/>
  <c r="D27" i="42"/>
  <c r="E27" i="42"/>
  <c r="I37" i="9"/>
  <c r="D37" i="6"/>
  <c r="E37" i="6"/>
  <c r="H25" i="43"/>
  <c r="D40" i="10"/>
  <c r="E40" i="10"/>
  <c r="E27" i="46"/>
  <c r="F27" i="46" s="1"/>
  <c r="G109" i="13"/>
  <c r="D110" i="13"/>
  <c r="E110" i="13" s="1"/>
  <c r="J108" i="13"/>
  <c r="D28" i="13" l="1"/>
  <c r="H27" i="13"/>
  <c r="G27" i="13"/>
  <c r="I25" i="43"/>
  <c r="G38" i="9"/>
  <c r="I27" i="44"/>
  <c r="E28" i="44"/>
  <c r="F28" i="44" s="1"/>
  <c r="G28" i="44" s="1"/>
  <c r="B28" i="44"/>
  <c r="I39" i="10"/>
  <c r="I30" i="31"/>
  <c r="I34" i="22"/>
  <c r="I35" i="4"/>
  <c r="I28" i="37"/>
  <c r="I32" i="24"/>
  <c r="I37" i="11"/>
  <c r="F32" i="27"/>
  <c r="G32" i="27" s="1"/>
  <c r="B32" i="27"/>
  <c r="I33" i="23"/>
  <c r="I30" i="29"/>
  <c r="I30" i="28"/>
  <c r="I35" i="3"/>
  <c r="I31" i="27"/>
  <c r="D28" i="46"/>
  <c r="E28" i="46" s="1"/>
  <c r="H27" i="46"/>
  <c r="G27" i="46"/>
  <c r="B40" i="10"/>
  <c r="F40" i="10"/>
  <c r="H40" i="10" s="1"/>
  <c r="F27" i="42"/>
  <c r="H27" i="42" s="1"/>
  <c r="B27" i="42"/>
  <c r="B28" i="39"/>
  <c r="F28" i="39"/>
  <c r="B30" i="30"/>
  <c r="F30" i="30"/>
  <c r="H30" i="30" s="1"/>
  <c r="F35" i="22"/>
  <c r="G35" i="22" s="1"/>
  <c r="B35" i="22"/>
  <c r="B34" i="23"/>
  <c r="F34" i="23"/>
  <c r="H34" i="23" s="1"/>
  <c r="B36" i="4"/>
  <c r="F36" i="4"/>
  <c r="H36" i="4" s="1"/>
  <c r="I27" i="45"/>
  <c r="B27" i="40"/>
  <c r="F27" i="40"/>
  <c r="G27" i="40" s="1"/>
  <c r="B36" i="5"/>
  <c r="F36" i="5"/>
  <c r="H36" i="5" s="1"/>
  <c r="I36" i="6"/>
  <c r="I38" i="7"/>
  <c r="I34" i="25"/>
  <c r="I36" i="8"/>
  <c r="F31" i="29"/>
  <c r="H31" i="29" s="1"/>
  <c r="B31" i="29"/>
  <c r="B31" i="28"/>
  <c r="F31" i="28"/>
  <c r="H31" i="28" s="1"/>
  <c r="F28" i="38"/>
  <c r="G28" i="38" s="1"/>
  <c r="B28" i="38"/>
  <c r="F26" i="43"/>
  <c r="H26" i="43" s="1"/>
  <c r="B26" i="43"/>
  <c r="F38" i="11"/>
  <c r="H38" i="11" s="1"/>
  <c r="B38" i="11"/>
  <c r="B39" i="7"/>
  <c r="F39" i="7"/>
  <c r="G39" i="7" s="1"/>
  <c r="B37" i="6"/>
  <c r="F37" i="6"/>
  <c r="H37" i="6" s="1"/>
  <c r="F31" i="31"/>
  <c r="G31" i="31" s="1"/>
  <c r="B31" i="31"/>
  <c r="I29" i="30"/>
  <c r="F33" i="24"/>
  <c r="G33" i="24" s="1"/>
  <c r="B33" i="24"/>
  <c r="D39" i="9"/>
  <c r="E39" i="9"/>
  <c r="F35" i="25"/>
  <c r="G35" i="25" s="1"/>
  <c r="B35" i="25"/>
  <c r="F27" i="41"/>
  <c r="G27" i="41" s="1"/>
  <c r="B27" i="41"/>
  <c r="B36" i="3"/>
  <c r="F36" i="3"/>
  <c r="H36" i="3" s="1"/>
  <c r="B29" i="37"/>
  <c r="F29" i="37"/>
  <c r="H29" i="37" s="1"/>
  <c r="F37" i="8"/>
  <c r="H37" i="8" s="1"/>
  <c r="B37" i="8"/>
  <c r="I35" i="5"/>
  <c r="B28" i="45"/>
  <c r="F28" i="45"/>
  <c r="H28" i="45" s="1"/>
  <c r="F110" i="13"/>
  <c r="B110" i="13"/>
  <c r="H109" i="13"/>
  <c r="I109" i="13"/>
  <c r="I27" i="13" l="1"/>
  <c r="B28" i="13"/>
  <c r="E28" i="13"/>
  <c r="F28" i="13" s="1"/>
  <c r="H31" i="31"/>
  <c r="G30" i="30"/>
  <c r="G31" i="29"/>
  <c r="G31" i="28"/>
  <c r="H32" i="27"/>
  <c r="H35" i="25"/>
  <c r="H33" i="24"/>
  <c r="G34" i="23"/>
  <c r="H35" i="22"/>
  <c r="G38" i="11"/>
  <c r="G40" i="10"/>
  <c r="G37" i="8"/>
  <c r="H39" i="7"/>
  <c r="G37" i="6"/>
  <c r="G36" i="5"/>
  <c r="G36" i="4"/>
  <c r="G36" i="3"/>
  <c r="H28" i="44"/>
  <c r="I28" i="44" s="1"/>
  <c r="D29" i="44"/>
  <c r="I38" i="9"/>
  <c r="H28" i="38"/>
  <c r="I28" i="38" s="1"/>
  <c r="G29" i="37"/>
  <c r="H27" i="41"/>
  <c r="I27" i="41" s="1"/>
  <c r="H27" i="40"/>
  <c r="I27" i="40" s="1"/>
  <c r="D33" i="27"/>
  <c r="E33" i="27"/>
  <c r="D37" i="3"/>
  <c r="E37" i="3"/>
  <c r="D37" i="5"/>
  <c r="E37" i="5"/>
  <c r="D36" i="22"/>
  <c r="E36" i="22"/>
  <c r="D29" i="45"/>
  <c r="E29" i="45" s="1"/>
  <c r="I29" i="37"/>
  <c r="D34" i="24"/>
  <c r="E34" i="24"/>
  <c r="D32" i="31"/>
  <c r="E32" i="31"/>
  <c r="D39" i="11"/>
  <c r="E39" i="11"/>
  <c r="D27" i="43"/>
  <c r="E27" i="43"/>
  <c r="D32" i="29"/>
  <c r="E32" i="29"/>
  <c r="D35" i="23"/>
  <c r="E35" i="23"/>
  <c r="D31" i="30"/>
  <c r="E31" i="30"/>
  <c r="E41" i="10"/>
  <c r="D41" i="10"/>
  <c r="I27" i="46"/>
  <c r="D29" i="39"/>
  <c r="E29" i="39"/>
  <c r="G28" i="45"/>
  <c r="I28" i="45" s="1"/>
  <c r="E30" i="37"/>
  <c r="D30" i="37"/>
  <c r="D38" i="6"/>
  <c r="E38" i="6"/>
  <c r="D40" i="7"/>
  <c r="E40" i="7"/>
  <c r="D32" i="28"/>
  <c r="E32" i="28"/>
  <c r="H28" i="39"/>
  <c r="D28" i="42"/>
  <c r="E28" i="42"/>
  <c r="D38" i="8"/>
  <c r="E38" i="8"/>
  <c r="D28" i="41"/>
  <c r="E28" i="41"/>
  <c r="D36" i="25"/>
  <c r="E36" i="25"/>
  <c r="F39" i="9"/>
  <c r="H39" i="9" s="1"/>
  <c r="B39" i="9"/>
  <c r="G26" i="43"/>
  <c r="I26" i="43" s="1"/>
  <c r="D29" i="38"/>
  <c r="E29" i="38"/>
  <c r="D28" i="40"/>
  <c r="E28" i="40"/>
  <c r="D37" i="4"/>
  <c r="E37" i="4"/>
  <c r="G28" i="39"/>
  <c r="G27" i="42"/>
  <c r="I27" i="42" s="1"/>
  <c r="F28" i="46"/>
  <c r="G28" i="46" s="1"/>
  <c r="B28" i="46"/>
  <c r="J109" i="13"/>
  <c r="G110" i="13"/>
  <c r="D111" i="13"/>
  <c r="E111" i="13" s="1"/>
  <c r="H28" i="13" l="1"/>
  <c r="D29" i="13"/>
  <c r="G28" i="13"/>
  <c r="I28" i="13" s="1"/>
  <c r="G39" i="9"/>
  <c r="B29" i="44"/>
  <c r="E29" i="44"/>
  <c r="F29" i="44" s="1"/>
  <c r="I36" i="4"/>
  <c r="I36" i="5"/>
  <c r="I35" i="25"/>
  <c r="I30" i="30"/>
  <c r="I34" i="23"/>
  <c r="I32" i="27"/>
  <c r="I39" i="7"/>
  <c r="B33" i="27"/>
  <c r="F33" i="27"/>
  <c r="H33" i="27" s="1"/>
  <c r="I31" i="29"/>
  <c r="I31" i="31"/>
  <c r="I36" i="3"/>
  <c r="I28" i="39"/>
  <c r="I31" i="28"/>
  <c r="F37" i="4"/>
  <c r="G37" i="4" s="1"/>
  <c r="B37" i="4"/>
  <c r="E40" i="9"/>
  <c r="D40" i="9"/>
  <c r="B31" i="30"/>
  <c r="F31" i="30"/>
  <c r="H31" i="30" s="1"/>
  <c r="B27" i="43"/>
  <c r="F27" i="43"/>
  <c r="H27" i="43" s="1"/>
  <c r="B37" i="3"/>
  <c r="F37" i="3"/>
  <c r="H37" i="3" s="1"/>
  <c r="F29" i="38"/>
  <c r="B29" i="38"/>
  <c r="F38" i="8"/>
  <c r="H38" i="8" s="1"/>
  <c r="B38" i="8"/>
  <c r="B30" i="37"/>
  <c r="F30" i="37"/>
  <c r="H30" i="37" s="1"/>
  <c r="I40" i="10"/>
  <c r="B32" i="29"/>
  <c r="F32" i="29"/>
  <c r="H32" i="29" s="1"/>
  <c r="I35" i="22"/>
  <c r="D29" i="46"/>
  <c r="E29" i="46" s="1"/>
  <c r="H28" i="46"/>
  <c r="I28" i="46" s="1"/>
  <c r="B36" i="25"/>
  <c r="F36" i="25"/>
  <c r="H36" i="25" s="1"/>
  <c r="B28" i="41"/>
  <c r="F28" i="41"/>
  <c r="G28" i="41" s="1"/>
  <c r="I37" i="8"/>
  <c r="B32" i="28"/>
  <c r="F32" i="28"/>
  <c r="G32" i="28" s="1"/>
  <c r="I37" i="6"/>
  <c r="I38" i="11"/>
  <c r="I33" i="24"/>
  <c r="F29" i="39"/>
  <c r="G29" i="39" s="1"/>
  <c r="B29" i="39"/>
  <c r="B35" i="23"/>
  <c r="F35" i="23"/>
  <c r="H35" i="23" s="1"/>
  <c r="B32" i="31"/>
  <c r="F32" i="31"/>
  <c r="G32" i="31" s="1"/>
  <c r="B28" i="40"/>
  <c r="F28" i="40"/>
  <c r="H28" i="40" s="1"/>
  <c r="B28" i="42"/>
  <c r="F28" i="42"/>
  <c r="G28" i="42" s="1"/>
  <c r="B40" i="7"/>
  <c r="F40" i="7"/>
  <c r="H40" i="7" s="1"/>
  <c r="F38" i="6"/>
  <c r="H38" i="6" s="1"/>
  <c r="B38" i="6"/>
  <c r="B41" i="10"/>
  <c r="F41" i="10"/>
  <c r="G41" i="10" s="1"/>
  <c r="F39" i="11"/>
  <c r="G39" i="11" s="1"/>
  <c r="B39" i="11"/>
  <c r="F34" i="24"/>
  <c r="H34" i="24" s="1"/>
  <c r="B34" i="24"/>
  <c r="F29" i="45"/>
  <c r="B29" i="45"/>
  <c r="B36" i="22"/>
  <c r="F36" i="22"/>
  <c r="H36" i="22" s="1"/>
  <c r="F37" i="5"/>
  <c r="H37" i="5" s="1"/>
  <c r="B37" i="5"/>
  <c r="H110" i="13"/>
  <c r="I110" i="13"/>
  <c r="B111" i="13"/>
  <c r="F111" i="13"/>
  <c r="E29" i="13" l="1"/>
  <c r="F29" i="13" s="1"/>
  <c r="B29" i="13"/>
  <c r="H32" i="31"/>
  <c r="G31" i="30"/>
  <c r="G32" i="29"/>
  <c r="H32" i="28"/>
  <c r="G33" i="27"/>
  <c r="G36" i="25"/>
  <c r="G34" i="24"/>
  <c r="G35" i="23"/>
  <c r="G36" i="22"/>
  <c r="H39" i="11"/>
  <c r="I39" i="11" s="1"/>
  <c r="H41" i="10"/>
  <c r="G38" i="8"/>
  <c r="G40" i="7"/>
  <c r="G38" i="6"/>
  <c r="G37" i="5"/>
  <c r="H37" i="4"/>
  <c r="G37" i="3"/>
  <c r="H29" i="44"/>
  <c r="D30" i="44"/>
  <c r="G29" i="44"/>
  <c r="G30" i="37"/>
  <c r="I30" i="37" s="1"/>
  <c r="H28" i="41"/>
  <c r="I28" i="41" s="1"/>
  <c r="G27" i="43"/>
  <c r="I27" i="43" s="1"/>
  <c r="H29" i="39"/>
  <c r="I29" i="39" s="1"/>
  <c r="E34" i="27"/>
  <c r="D34" i="27"/>
  <c r="D30" i="45"/>
  <c r="E30" i="45" s="1"/>
  <c r="D40" i="11"/>
  <c r="E40" i="11"/>
  <c r="D39" i="6"/>
  <c r="E39" i="6"/>
  <c r="D29" i="42"/>
  <c r="E29" i="42"/>
  <c r="D33" i="29"/>
  <c r="E33" i="29"/>
  <c r="D39" i="8"/>
  <c r="E39" i="8"/>
  <c r="D30" i="38"/>
  <c r="E30" i="38"/>
  <c r="F40" i="9"/>
  <c r="H40" i="9" s="1"/>
  <c r="B40" i="9"/>
  <c r="D38" i="4"/>
  <c r="E38" i="4"/>
  <c r="D33" i="31"/>
  <c r="E33" i="31"/>
  <c r="D33" i="28"/>
  <c r="E33" i="28"/>
  <c r="D38" i="5"/>
  <c r="E38" i="5"/>
  <c r="G29" i="45"/>
  <c r="D35" i="24"/>
  <c r="E35" i="24"/>
  <c r="D42" i="10"/>
  <c r="D41" i="7"/>
  <c r="E41" i="7"/>
  <c r="D36" i="23"/>
  <c r="E36" i="23"/>
  <c r="D30" i="39"/>
  <c r="E30" i="39"/>
  <c r="E31" i="37"/>
  <c r="D31" i="37"/>
  <c r="H29" i="38"/>
  <c r="D38" i="3"/>
  <c r="E38" i="3"/>
  <c r="D28" i="43"/>
  <c r="E28" i="43"/>
  <c r="D32" i="30"/>
  <c r="E32" i="30"/>
  <c r="I39" i="9"/>
  <c r="D29" i="40"/>
  <c r="E29" i="40"/>
  <c r="D37" i="22"/>
  <c r="E37" i="22"/>
  <c r="H29" i="45"/>
  <c r="I29" i="45" s="1"/>
  <c r="H28" i="42"/>
  <c r="I28" i="42" s="1"/>
  <c r="G28" i="40"/>
  <c r="I28" i="40" s="1"/>
  <c r="D29" i="41"/>
  <c r="E29" i="41"/>
  <c r="D37" i="25"/>
  <c r="E37" i="25"/>
  <c r="F29" i="46"/>
  <c r="G29" i="46" s="1"/>
  <c r="B29" i="46"/>
  <c r="G29" i="38"/>
  <c r="J110" i="13"/>
  <c r="G111" i="13"/>
  <c r="D112" i="13"/>
  <c r="E112" i="13" s="1"/>
  <c r="D30" i="13" l="1"/>
  <c r="G29" i="13"/>
  <c r="H29" i="13"/>
  <c r="E42" i="10"/>
  <c r="F42" i="10" s="1"/>
  <c r="H42" i="10" s="1"/>
  <c r="G40" i="9"/>
  <c r="I32" i="28"/>
  <c r="E30" i="44"/>
  <c r="F30" i="44" s="1"/>
  <c r="B30" i="44"/>
  <c r="I29" i="44"/>
  <c r="I36" i="22"/>
  <c r="I37" i="3"/>
  <c r="I34" i="24"/>
  <c r="I37" i="5"/>
  <c r="H29" i="46"/>
  <c r="I29" i="46" s="1"/>
  <c r="I40" i="7"/>
  <c r="I33" i="27"/>
  <c r="F34" i="27"/>
  <c r="G34" i="27" s="1"/>
  <c r="B34" i="27"/>
  <c r="I37" i="4"/>
  <c r="B38" i="3"/>
  <c r="F38" i="3"/>
  <c r="H38" i="3" s="1"/>
  <c r="F30" i="39"/>
  <c r="H30" i="39" s="1"/>
  <c r="B30" i="39"/>
  <c r="F30" i="38"/>
  <c r="H30" i="38" s="1"/>
  <c r="B30" i="38"/>
  <c r="B37" i="25"/>
  <c r="F37" i="25"/>
  <c r="G37" i="25" s="1"/>
  <c r="F28" i="43"/>
  <c r="H28" i="43" s="1"/>
  <c r="B28" i="43"/>
  <c r="I41" i="10"/>
  <c r="F38" i="5"/>
  <c r="H38" i="5" s="1"/>
  <c r="B38" i="5"/>
  <c r="I32" i="31"/>
  <c r="B40" i="11"/>
  <c r="F40" i="11"/>
  <c r="H40" i="11" s="1"/>
  <c r="B36" i="23"/>
  <c r="F36" i="23"/>
  <c r="H36" i="23" s="1"/>
  <c r="D30" i="46"/>
  <c r="E30" i="46" s="1"/>
  <c r="I36" i="25"/>
  <c r="B32" i="30"/>
  <c r="F32" i="30"/>
  <c r="H32" i="30" s="1"/>
  <c r="I29" i="38"/>
  <c r="B42" i="10"/>
  <c r="B35" i="24"/>
  <c r="F35" i="24"/>
  <c r="H35" i="24" s="1"/>
  <c r="F33" i="28"/>
  <c r="H33" i="28" s="1"/>
  <c r="B33" i="28"/>
  <c r="F33" i="31"/>
  <c r="H33" i="31" s="1"/>
  <c r="B33" i="31"/>
  <c r="E41" i="9"/>
  <c r="D41" i="9"/>
  <c r="I38" i="8"/>
  <c r="I38" i="6"/>
  <c r="F30" i="45"/>
  <c r="G30" i="45" s="1"/>
  <c r="B30" i="45"/>
  <c r="B29" i="41"/>
  <c r="F29" i="41"/>
  <c r="F41" i="7"/>
  <c r="H41" i="7" s="1"/>
  <c r="B41" i="7"/>
  <c r="B33" i="29"/>
  <c r="F33" i="29"/>
  <c r="H33" i="29" s="1"/>
  <c r="B37" i="22"/>
  <c r="F37" i="22"/>
  <c r="H37" i="22" s="1"/>
  <c r="F29" i="40"/>
  <c r="H29" i="40" s="1"/>
  <c r="B29" i="40"/>
  <c r="I31" i="30"/>
  <c r="F31" i="37"/>
  <c r="H31" i="37" s="1"/>
  <c r="B31" i="37"/>
  <c r="I35" i="23"/>
  <c r="B38" i="4"/>
  <c r="F38" i="4"/>
  <c r="H38" i="4" s="1"/>
  <c r="F39" i="8"/>
  <c r="G39" i="8" s="1"/>
  <c r="B39" i="8"/>
  <c r="I32" i="29"/>
  <c r="B29" i="42"/>
  <c r="F29" i="42"/>
  <c r="G29" i="42" s="1"/>
  <c r="F39" i="6"/>
  <c r="H39" i="6" s="1"/>
  <c r="B39" i="6"/>
  <c r="B112" i="13"/>
  <c r="F112" i="13"/>
  <c r="I111" i="13"/>
  <c r="H111" i="13"/>
  <c r="I29" i="13" l="1"/>
  <c r="E30" i="13"/>
  <c r="F30" i="13" s="1"/>
  <c r="B30" i="13"/>
  <c r="G33" i="31"/>
  <c r="G32" i="30"/>
  <c r="G33" i="29"/>
  <c r="G33" i="28"/>
  <c r="H34" i="27"/>
  <c r="H37" i="25"/>
  <c r="G35" i="24"/>
  <c r="G36" i="23"/>
  <c r="G37" i="22"/>
  <c r="G40" i="11"/>
  <c r="G42" i="10"/>
  <c r="H39" i="8"/>
  <c r="G41" i="7"/>
  <c r="G39" i="6"/>
  <c r="G38" i="5"/>
  <c r="G38" i="4"/>
  <c r="G38" i="3"/>
  <c r="G30" i="44"/>
  <c r="H30" i="44"/>
  <c r="D31" i="44"/>
  <c r="G29" i="40"/>
  <c r="I29" i="40" s="1"/>
  <c r="E35" i="27"/>
  <c r="D35" i="27"/>
  <c r="D38" i="22"/>
  <c r="E38" i="22"/>
  <c r="D34" i="28"/>
  <c r="E34" i="28"/>
  <c r="E43" i="10"/>
  <c r="D43" i="10"/>
  <c r="D38" i="25"/>
  <c r="E38" i="25"/>
  <c r="D30" i="42"/>
  <c r="E30" i="42"/>
  <c r="D32" i="37"/>
  <c r="E32" i="37"/>
  <c r="D42" i="7"/>
  <c r="B41" i="9"/>
  <c r="F41" i="9"/>
  <c r="H41" i="9" s="1"/>
  <c r="D36" i="24"/>
  <c r="E36" i="24"/>
  <c r="D29" i="43"/>
  <c r="E29" i="43"/>
  <c r="D31" i="38"/>
  <c r="E31" i="38"/>
  <c r="D31" i="39"/>
  <c r="E31" i="39"/>
  <c r="D30" i="41"/>
  <c r="E30" i="41"/>
  <c r="D31" i="45"/>
  <c r="E31" i="45" s="1"/>
  <c r="D37" i="23"/>
  <c r="E37" i="23"/>
  <c r="D39" i="5"/>
  <c r="E39" i="5"/>
  <c r="D40" i="8"/>
  <c r="E40" i="8"/>
  <c r="G31" i="37"/>
  <c r="I31" i="37" s="1"/>
  <c r="D34" i="29"/>
  <c r="E34" i="29"/>
  <c r="H29" i="41"/>
  <c r="I40" i="9"/>
  <c r="D34" i="31"/>
  <c r="E34" i="31"/>
  <c r="D33" i="30"/>
  <c r="E33" i="30"/>
  <c r="F30" i="46"/>
  <c r="H30" i="46" s="1"/>
  <c r="B30" i="46"/>
  <c r="D41" i="11"/>
  <c r="E41" i="11"/>
  <c r="D39" i="3"/>
  <c r="E39" i="3"/>
  <c r="D40" i="6"/>
  <c r="E40" i="6"/>
  <c r="H29" i="42"/>
  <c r="I29" i="42" s="1"/>
  <c r="D39" i="4"/>
  <c r="E39" i="4"/>
  <c r="D30" i="40"/>
  <c r="E30" i="40"/>
  <c r="G29" i="41"/>
  <c r="H30" i="45"/>
  <c r="I30" i="45" s="1"/>
  <c r="G28" i="43"/>
  <c r="I28" i="43" s="1"/>
  <c r="G30" i="38"/>
  <c r="I30" i="38" s="1"/>
  <c r="G30" i="39"/>
  <c r="I30" i="39" s="1"/>
  <c r="J111" i="13"/>
  <c r="G112" i="13"/>
  <c r="D113" i="13"/>
  <c r="E113" i="13" s="1"/>
  <c r="I30" i="44" l="1"/>
  <c r="H30" i="13"/>
  <c r="D31" i="13"/>
  <c r="G30" i="13"/>
  <c r="I30" i="13" s="1"/>
  <c r="G41" i="9"/>
  <c r="E42" i="7"/>
  <c r="E31" i="44"/>
  <c r="F31" i="44" s="1"/>
  <c r="B31" i="44"/>
  <c r="I41" i="7"/>
  <c r="I38" i="3"/>
  <c r="I35" i="24"/>
  <c r="I40" i="11"/>
  <c r="I38" i="5"/>
  <c r="F35" i="27"/>
  <c r="H35" i="27" s="1"/>
  <c r="B35" i="27"/>
  <c r="I32" i="30"/>
  <c r="I37" i="25"/>
  <c r="I33" i="28"/>
  <c r="I37" i="22"/>
  <c r="I34" i="27"/>
  <c r="I39" i="6"/>
  <c r="D31" i="46"/>
  <c r="F34" i="31"/>
  <c r="H34" i="31" s="1"/>
  <c r="B34" i="31"/>
  <c r="B39" i="5"/>
  <c r="F39" i="5"/>
  <c r="H39" i="5" s="1"/>
  <c r="B30" i="41"/>
  <c r="F30" i="41"/>
  <c r="G30" i="41" s="1"/>
  <c r="B31" i="38"/>
  <c r="F31" i="38"/>
  <c r="G31" i="38" s="1"/>
  <c r="B30" i="42"/>
  <c r="F30" i="42"/>
  <c r="H30" i="42" s="1"/>
  <c r="B34" i="28"/>
  <c r="F34" i="28"/>
  <c r="H34" i="28" s="1"/>
  <c r="F30" i="40"/>
  <c r="B30" i="40"/>
  <c r="F41" i="11"/>
  <c r="H41" i="11" s="1"/>
  <c r="B41" i="11"/>
  <c r="F40" i="8"/>
  <c r="H40" i="8" s="1"/>
  <c r="B40" i="8"/>
  <c r="B42" i="7"/>
  <c r="F42" i="7"/>
  <c r="G42" i="7" s="1"/>
  <c r="F39" i="4"/>
  <c r="H39" i="4" s="1"/>
  <c r="B39" i="4"/>
  <c r="G30" i="46"/>
  <c r="I30" i="46" s="1"/>
  <c r="F34" i="29"/>
  <c r="H34" i="29" s="1"/>
  <c r="B34" i="29"/>
  <c r="I39" i="8"/>
  <c r="B36" i="24"/>
  <c r="F36" i="24"/>
  <c r="H36" i="24" s="1"/>
  <c r="F38" i="25"/>
  <c r="G38" i="25" s="1"/>
  <c r="B38" i="25"/>
  <c r="B38" i="22"/>
  <c r="F38" i="22"/>
  <c r="H38" i="22" s="1"/>
  <c r="F37" i="23"/>
  <c r="G37" i="23" s="1"/>
  <c r="B37" i="23"/>
  <c r="D42" i="9"/>
  <c r="B43" i="10"/>
  <c r="F43" i="10"/>
  <c r="H43" i="10" s="1"/>
  <c r="I38" i="4"/>
  <c r="B40" i="6"/>
  <c r="F40" i="6"/>
  <c r="H40" i="6" s="1"/>
  <c r="F39" i="3"/>
  <c r="H39" i="3" s="1"/>
  <c r="B39" i="3"/>
  <c r="F33" i="30"/>
  <c r="H33" i="30" s="1"/>
  <c r="B33" i="30"/>
  <c r="I33" i="31"/>
  <c r="I29" i="41"/>
  <c r="I33" i="29"/>
  <c r="I36" i="23"/>
  <c r="F31" i="45"/>
  <c r="H31" i="45" s="1"/>
  <c r="B31" i="45"/>
  <c r="B31" i="39"/>
  <c r="F31" i="39"/>
  <c r="G31" i="39" s="1"/>
  <c r="F29" i="43"/>
  <c r="H29" i="43" s="1"/>
  <c r="B29" i="43"/>
  <c r="F32" i="37"/>
  <c r="B32" i="37"/>
  <c r="I42" i="10"/>
  <c r="I112" i="13"/>
  <c r="H112" i="13"/>
  <c r="B113" i="13"/>
  <c r="F113" i="13"/>
  <c r="E31" i="13" l="1"/>
  <c r="F31" i="13" s="1"/>
  <c r="B31" i="13"/>
  <c r="G34" i="31"/>
  <c r="G33" i="30"/>
  <c r="G34" i="29"/>
  <c r="G34" i="28"/>
  <c r="G35" i="27"/>
  <c r="H38" i="25"/>
  <c r="I38" i="25" s="1"/>
  <c r="G36" i="24"/>
  <c r="H37" i="23"/>
  <c r="G38" i="22"/>
  <c r="G41" i="11"/>
  <c r="G43" i="10"/>
  <c r="E42" i="9"/>
  <c r="G40" i="8"/>
  <c r="H42" i="7"/>
  <c r="G40" i="6"/>
  <c r="G39" i="5"/>
  <c r="G39" i="4"/>
  <c r="G39" i="3"/>
  <c r="D32" i="44"/>
  <c r="H31" i="44"/>
  <c r="G31" i="44"/>
  <c r="H31" i="38"/>
  <c r="I31" i="38" s="1"/>
  <c r="G31" i="45"/>
  <c r="D36" i="27"/>
  <c r="D33" i="37"/>
  <c r="E33" i="37"/>
  <c r="D40" i="3"/>
  <c r="E40" i="3"/>
  <c r="D31" i="40"/>
  <c r="E31" i="40"/>
  <c r="G29" i="43"/>
  <c r="I29" i="43" s="1"/>
  <c r="D32" i="39"/>
  <c r="E32" i="39"/>
  <c r="I31" i="45"/>
  <c r="D41" i="6"/>
  <c r="D39" i="25"/>
  <c r="E39" i="25"/>
  <c r="G30" i="40"/>
  <c r="G30" i="42"/>
  <c r="I30" i="42" s="1"/>
  <c r="D35" i="31"/>
  <c r="E35" i="31"/>
  <c r="D44" i="10"/>
  <c r="E44" i="10"/>
  <c r="H32" i="37"/>
  <c r="H31" i="39"/>
  <c r="I31" i="39" s="1"/>
  <c r="D34" i="30"/>
  <c r="E34" i="30"/>
  <c r="I41" i="9"/>
  <c r="D39" i="22"/>
  <c r="E39" i="22"/>
  <c r="D37" i="24"/>
  <c r="E37" i="24"/>
  <c r="D40" i="4"/>
  <c r="D41" i="8"/>
  <c r="D35" i="28"/>
  <c r="E35" i="28"/>
  <c r="D31" i="41"/>
  <c r="E31" i="41"/>
  <c r="D40" i="5"/>
  <c r="E40" i="5"/>
  <c r="B31" i="46"/>
  <c r="D30" i="43"/>
  <c r="E30" i="43"/>
  <c r="D38" i="23"/>
  <c r="E38" i="23"/>
  <c r="D42" i="11"/>
  <c r="D31" i="42"/>
  <c r="E31" i="42"/>
  <c r="G32" i="37"/>
  <c r="D32" i="45"/>
  <c r="B42" i="9"/>
  <c r="F42" i="9"/>
  <c r="G42" i="9" s="1"/>
  <c r="D35" i="29"/>
  <c r="E35" i="29"/>
  <c r="D43" i="7"/>
  <c r="E43" i="7"/>
  <c r="H30" i="40"/>
  <c r="D32" i="38"/>
  <c r="E32" i="38"/>
  <c r="H30" i="41"/>
  <c r="I30" i="41" s="1"/>
  <c r="E31" i="46"/>
  <c r="F31" i="46" s="1"/>
  <c r="J112" i="13"/>
  <c r="G113" i="13"/>
  <c r="D114" i="13"/>
  <c r="H31" i="13" l="1"/>
  <c r="G31" i="13"/>
  <c r="D32" i="13"/>
  <c r="E42" i="11"/>
  <c r="F42" i="11" s="1"/>
  <c r="H42" i="11" s="1"/>
  <c r="H42" i="9"/>
  <c r="E41" i="8"/>
  <c r="E41" i="6"/>
  <c r="E40" i="4"/>
  <c r="F40" i="4" s="1"/>
  <c r="H40" i="4" s="1"/>
  <c r="I36" i="24"/>
  <c r="I38" i="22"/>
  <c r="I40" i="8"/>
  <c r="I39" i="3"/>
  <c r="I34" i="29"/>
  <c r="I33" i="30"/>
  <c r="I31" i="44"/>
  <c r="I34" i="31"/>
  <c r="E32" i="44"/>
  <c r="F32" i="44" s="1"/>
  <c r="B32" i="44"/>
  <c r="I30" i="40"/>
  <c r="I39" i="5"/>
  <c r="I40" i="6"/>
  <c r="I41" i="11"/>
  <c r="I43" i="10"/>
  <c r="I42" i="7"/>
  <c r="I32" i="37"/>
  <c r="B36" i="27"/>
  <c r="I35" i="27"/>
  <c r="E36" i="27"/>
  <c r="F36" i="27" s="1"/>
  <c r="H36" i="27" s="1"/>
  <c r="D32" i="46"/>
  <c r="E32" i="46" s="1"/>
  <c r="H31" i="46"/>
  <c r="G31" i="46"/>
  <c r="F41" i="6"/>
  <c r="H41" i="6" s="1"/>
  <c r="B41" i="6"/>
  <c r="B32" i="38"/>
  <c r="F32" i="38"/>
  <c r="H32" i="38" s="1"/>
  <c r="B35" i="29"/>
  <c r="F35" i="29"/>
  <c r="H35" i="29" s="1"/>
  <c r="B32" i="45"/>
  <c r="B38" i="23"/>
  <c r="F38" i="23"/>
  <c r="H38" i="23" s="1"/>
  <c r="I34" i="28"/>
  <c r="I39" i="4"/>
  <c r="B34" i="30"/>
  <c r="F34" i="30"/>
  <c r="H34" i="30" s="1"/>
  <c r="B44" i="10"/>
  <c r="F44" i="10"/>
  <c r="H44" i="10" s="1"/>
  <c r="F33" i="37"/>
  <c r="G33" i="37" s="1"/>
  <c r="B33" i="37"/>
  <c r="B30" i="43"/>
  <c r="F30" i="43"/>
  <c r="H30" i="43" s="1"/>
  <c r="F31" i="41"/>
  <c r="B31" i="41"/>
  <c r="B37" i="24"/>
  <c r="F37" i="24"/>
  <c r="G37" i="24" s="1"/>
  <c r="B32" i="39"/>
  <c r="F32" i="39"/>
  <c r="G32" i="39" s="1"/>
  <c r="B43" i="7"/>
  <c r="F43" i="7"/>
  <c r="G43" i="7" s="1"/>
  <c r="E32" i="45"/>
  <c r="F32" i="45" s="1"/>
  <c r="F31" i="42"/>
  <c r="H31" i="42" s="1"/>
  <c r="B31" i="42"/>
  <c r="I37" i="23"/>
  <c r="B40" i="5"/>
  <c r="F40" i="5"/>
  <c r="H40" i="5" s="1"/>
  <c r="B42" i="11"/>
  <c r="F41" i="8"/>
  <c r="H41" i="8" s="1"/>
  <c r="B41" i="8"/>
  <c r="D43" i="9"/>
  <c r="B35" i="28"/>
  <c r="F35" i="28"/>
  <c r="H35" i="28" s="1"/>
  <c r="B40" i="4"/>
  <c r="B39" i="22"/>
  <c r="F39" i="22"/>
  <c r="H39" i="22" s="1"/>
  <c r="B35" i="31"/>
  <c r="F35" i="31"/>
  <c r="G35" i="31" s="1"/>
  <c r="F39" i="25"/>
  <c r="G39" i="25" s="1"/>
  <c r="B39" i="25"/>
  <c r="F31" i="40"/>
  <c r="B31" i="40"/>
  <c r="B40" i="3"/>
  <c r="F40" i="3"/>
  <c r="H40" i="3" s="1"/>
  <c r="B114" i="13"/>
  <c r="H113" i="13"/>
  <c r="I113" i="13"/>
  <c r="E114" i="13"/>
  <c r="F114" i="13" s="1"/>
  <c r="I31" i="13" l="1"/>
  <c r="G41" i="8"/>
  <c r="E32" i="13"/>
  <c r="F32" i="13" s="1"/>
  <c r="B32" i="13"/>
  <c r="H35" i="31"/>
  <c r="G34" i="30"/>
  <c r="G35" i="29"/>
  <c r="G35" i="28"/>
  <c r="G36" i="27"/>
  <c r="H39" i="25"/>
  <c r="H37" i="24"/>
  <c r="G38" i="23"/>
  <c r="G39" i="22"/>
  <c r="G42" i="11"/>
  <c r="G44" i="10"/>
  <c r="E43" i="9"/>
  <c r="F43" i="9" s="1"/>
  <c r="H43" i="9" s="1"/>
  <c r="H43" i="7"/>
  <c r="G41" i="6"/>
  <c r="G40" i="5"/>
  <c r="G40" i="4"/>
  <c r="G40" i="3"/>
  <c r="G32" i="44"/>
  <c r="D33" i="44"/>
  <c r="H32" i="44"/>
  <c r="G32" i="38"/>
  <c r="I32" i="38" s="1"/>
  <c r="D37" i="27"/>
  <c r="G31" i="42"/>
  <c r="I31" i="42" s="1"/>
  <c r="D33" i="45"/>
  <c r="G32" i="45"/>
  <c r="H32" i="45"/>
  <c r="D32" i="41"/>
  <c r="E32" i="41"/>
  <c r="D32" i="40"/>
  <c r="E32" i="40"/>
  <c r="D41" i="4"/>
  <c r="E41" i="4"/>
  <c r="I42" i="9"/>
  <c r="D42" i="8"/>
  <c r="D41" i="5"/>
  <c r="D44" i="7"/>
  <c r="E44" i="7"/>
  <c r="D33" i="39"/>
  <c r="E33" i="39"/>
  <c r="G31" i="41"/>
  <c r="D34" i="37"/>
  <c r="E34" i="37"/>
  <c r="I31" i="46"/>
  <c r="H31" i="40"/>
  <c r="D40" i="22"/>
  <c r="D36" i="28"/>
  <c r="E36" i="28"/>
  <c r="B43" i="9"/>
  <c r="D43" i="11"/>
  <c r="H31" i="41"/>
  <c r="D45" i="10"/>
  <c r="E45" i="10"/>
  <c r="D35" i="30"/>
  <c r="E35" i="30"/>
  <c r="D39" i="23"/>
  <c r="D41" i="3"/>
  <c r="D36" i="31"/>
  <c r="E36" i="31"/>
  <c r="D38" i="24"/>
  <c r="E38" i="24"/>
  <c r="D31" i="43"/>
  <c r="E31" i="43"/>
  <c r="D36" i="29"/>
  <c r="E36" i="29"/>
  <c r="G31" i="40"/>
  <c r="D40" i="25"/>
  <c r="D32" i="42"/>
  <c r="E32" i="42"/>
  <c r="H32" i="39"/>
  <c r="I32" i="39" s="1"/>
  <c r="G30" i="43"/>
  <c r="I30" i="43" s="1"/>
  <c r="H33" i="37"/>
  <c r="I33" i="37" s="1"/>
  <c r="D33" i="38"/>
  <c r="E33" i="38"/>
  <c r="D42" i="6"/>
  <c r="F32" i="46"/>
  <c r="G32" i="46" s="1"/>
  <c r="B32" i="46"/>
  <c r="J113" i="13"/>
  <c r="G114" i="13"/>
  <c r="D115" i="13"/>
  <c r="E115" i="13" s="1"/>
  <c r="I32" i="44" l="1"/>
  <c r="H32" i="13"/>
  <c r="D33" i="13"/>
  <c r="G32" i="13"/>
  <c r="I32" i="13" s="1"/>
  <c r="E40" i="25"/>
  <c r="F40" i="25" s="1"/>
  <c r="H40" i="25" s="1"/>
  <c r="E39" i="23"/>
  <c r="E40" i="22"/>
  <c r="F40" i="22" s="1"/>
  <c r="H40" i="22" s="1"/>
  <c r="E43" i="11"/>
  <c r="F43" i="11" s="1"/>
  <c r="G43" i="11" s="1"/>
  <c r="G43" i="9"/>
  <c r="E42" i="8"/>
  <c r="E42" i="6"/>
  <c r="E41" i="5"/>
  <c r="F41" i="5" s="1"/>
  <c r="H41" i="5" s="1"/>
  <c r="E41" i="3"/>
  <c r="E33" i="44"/>
  <c r="F33" i="44" s="1"/>
  <c r="B33" i="44"/>
  <c r="I32" i="45"/>
  <c r="I41" i="6"/>
  <c r="I43" i="7"/>
  <c r="I39" i="25"/>
  <c r="I39" i="22"/>
  <c r="I37" i="24"/>
  <c r="H32" i="46"/>
  <c r="I32" i="46" s="1"/>
  <c r="I44" i="10"/>
  <c r="I31" i="41"/>
  <c r="I40" i="5"/>
  <c r="I41" i="8"/>
  <c r="B37" i="27"/>
  <c r="E37" i="27"/>
  <c r="F37" i="27" s="1"/>
  <c r="H37" i="27" s="1"/>
  <c r="I36" i="27"/>
  <c r="F31" i="43"/>
  <c r="B31" i="43"/>
  <c r="B35" i="30"/>
  <c r="F35" i="30"/>
  <c r="H35" i="30" s="1"/>
  <c r="F32" i="42"/>
  <c r="G32" i="42" s="1"/>
  <c r="B32" i="42"/>
  <c r="B40" i="25"/>
  <c r="B43" i="11"/>
  <c r="B36" i="28"/>
  <c r="F36" i="28"/>
  <c r="G36" i="28" s="1"/>
  <c r="B34" i="37"/>
  <c r="F34" i="37"/>
  <c r="G34" i="37" s="1"/>
  <c r="I40" i="4"/>
  <c r="F33" i="38"/>
  <c r="H33" i="38" s="1"/>
  <c r="B33" i="38"/>
  <c r="B36" i="29"/>
  <c r="F36" i="29"/>
  <c r="H36" i="29" s="1"/>
  <c r="F41" i="3"/>
  <c r="H41" i="3" s="1"/>
  <c r="B41" i="3"/>
  <c r="F45" i="10"/>
  <c r="G45" i="10" s="1"/>
  <c r="B45" i="10"/>
  <c r="D44" i="9"/>
  <c r="B33" i="39"/>
  <c r="F33" i="39"/>
  <c r="G33" i="39" s="1"/>
  <c r="F42" i="8"/>
  <c r="H42" i="8" s="1"/>
  <c r="B42" i="8"/>
  <c r="D33" i="46"/>
  <c r="I35" i="29"/>
  <c r="I35" i="31"/>
  <c r="I40" i="3"/>
  <c r="I38" i="23"/>
  <c r="I34" i="30"/>
  <c r="I42" i="11"/>
  <c r="I31" i="40"/>
  <c r="F44" i="7"/>
  <c r="H44" i="7" s="1"/>
  <c r="B44" i="7"/>
  <c r="F41" i="4"/>
  <c r="G41" i="4" s="1"/>
  <c r="B41" i="4"/>
  <c r="B32" i="41"/>
  <c r="F32" i="41"/>
  <c r="H32" i="41" s="1"/>
  <c r="B33" i="45"/>
  <c r="F42" i="6"/>
  <c r="H42" i="6" s="1"/>
  <c r="B42" i="6"/>
  <c r="B36" i="31"/>
  <c r="F36" i="31"/>
  <c r="G36" i="31" s="1"/>
  <c r="F39" i="23"/>
  <c r="G39" i="23" s="1"/>
  <c r="B39" i="23"/>
  <c r="B40" i="22"/>
  <c r="B32" i="40"/>
  <c r="F32" i="40"/>
  <c r="F38" i="24"/>
  <c r="H38" i="24" s="1"/>
  <c r="B38" i="24"/>
  <c r="I35" i="28"/>
  <c r="B41" i="5"/>
  <c r="E33" i="45"/>
  <c r="F33" i="45" s="1"/>
  <c r="B115" i="13"/>
  <c r="F115" i="13"/>
  <c r="H114" i="13"/>
  <c r="I114" i="13"/>
  <c r="E33" i="13" l="1"/>
  <c r="B33" i="13"/>
  <c r="F33" i="13"/>
  <c r="H36" i="31"/>
  <c r="G35" i="30"/>
  <c r="G36" i="29"/>
  <c r="H36" i="28"/>
  <c r="G37" i="27"/>
  <c r="G40" i="25"/>
  <c r="G38" i="24"/>
  <c r="H39" i="23"/>
  <c r="G40" i="22"/>
  <c r="H43" i="11"/>
  <c r="H45" i="10"/>
  <c r="E44" i="9"/>
  <c r="G42" i="8"/>
  <c r="G44" i="7"/>
  <c r="G42" i="6"/>
  <c r="G41" i="5"/>
  <c r="H41" i="4"/>
  <c r="G41" i="3"/>
  <c r="G33" i="38"/>
  <c r="I33" i="38" s="1"/>
  <c r="D34" i="44"/>
  <c r="G33" i="44"/>
  <c r="H33" i="44"/>
  <c r="D38" i="27"/>
  <c r="E38" i="27"/>
  <c r="D34" i="45"/>
  <c r="E34" i="45" s="1"/>
  <c r="H33" i="45"/>
  <c r="G33" i="45"/>
  <c r="D33" i="40"/>
  <c r="E33" i="40"/>
  <c r="D37" i="31"/>
  <c r="D37" i="28"/>
  <c r="E37" i="28"/>
  <c r="G32" i="40"/>
  <c r="D33" i="41"/>
  <c r="E33" i="41"/>
  <c r="D42" i="4"/>
  <c r="B33" i="46"/>
  <c r="D34" i="39"/>
  <c r="E34" i="39"/>
  <c r="I43" i="9"/>
  <c r="D37" i="29"/>
  <c r="H34" i="37"/>
  <c r="I34" i="37" s="1"/>
  <c r="D41" i="25"/>
  <c r="D33" i="42"/>
  <c r="E33" i="42"/>
  <c r="D32" i="43"/>
  <c r="E32" i="43"/>
  <c r="D41" i="22"/>
  <c r="D43" i="8"/>
  <c r="D39" i="24"/>
  <c r="G32" i="41"/>
  <c r="I32" i="41" s="1"/>
  <c r="E33" i="46"/>
  <c r="F33" i="46" s="1"/>
  <c r="D46" i="10"/>
  <c r="E46" i="10"/>
  <c r="D34" i="38"/>
  <c r="E34" i="38"/>
  <c r="D44" i="11"/>
  <c r="D36" i="30"/>
  <c r="H31" i="43"/>
  <c r="D42" i="3"/>
  <c r="E42" i="3"/>
  <c r="D35" i="37"/>
  <c r="E35" i="37" s="1"/>
  <c r="D42" i="5"/>
  <c r="E42" i="5"/>
  <c r="H32" i="40"/>
  <c r="D40" i="23"/>
  <c r="D43" i="6"/>
  <c r="E43" i="6"/>
  <c r="D45" i="7"/>
  <c r="E45" i="7"/>
  <c r="H33" i="39"/>
  <c r="I33" i="39" s="1"/>
  <c r="B44" i="9"/>
  <c r="F44" i="9"/>
  <c r="H44" i="9" s="1"/>
  <c r="H32" i="42"/>
  <c r="I32" i="42" s="1"/>
  <c r="G31" i="43"/>
  <c r="D116" i="13"/>
  <c r="G115" i="13"/>
  <c r="J114" i="13"/>
  <c r="G33" i="13" l="1"/>
  <c r="H33" i="13"/>
  <c r="I33" i="13" s="1"/>
  <c r="D34" i="13"/>
  <c r="E37" i="31"/>
  <c r="F37" i="31" s="1"/>
  <c r="H37" i="31" s="1"/>
  <c r="E36" i="30"/>
  <c r="E37" i="29"/>
  <c r="F37" i="29" s="1"/>
  <c r="H37" i="29" s="1"/>
  <c r="E41" i="25"/>
  <c r="F41" i="25" s="1"/>
  <c r="G41" i="25" s="1"/>
  <c r="E39" i="24"/>
  <c r="F39" i="24" s="1"/>
  <c r="G39" i="24" s="1"/>
  <c r="E40" i="23"/>
  <c r="E41" i="22"/>
  <c r="F41" i="22" s="1"/>
  <c r="E44" i="11"/>
  <c r="F44" i="11" s="1"/>
  <c r="H44" i="11" s="1"/>
  <c r="G44" i="9"/>
  <c r="E43" i="8"/>
  <c r="E42" i="4"/>
  <c r="I33" i="44"/>
  <c r="E34" i="44"/>
  <c r="F34" i="44" s="1"/>
  <c r="B34" i="44"/>
  <c r="I36" i="29"/>
  <c r="I32" i="40"/>
  <c r="I37" i="27"/>
  <c r="I36" i="28"/>
  <c r="I41" i="3"/>
  <c r="I31" i="43"/>
  <c r="F38" i="27"/>
  <c r="H38" i="27" s="1"/>
  <c r="B38" i="27"/>
  <c r="D34" i="46"/>
  <c r="E34" i="46" s="1"/>
  <c r="H33" i="46"/>
  <c r="G33" i="46"/>
  <c r="I41" i="5"/>
  <c r="B44" i="11"/>
  <c r="B39" i="24"/>
  <c r="F43" i="8"/>
  <c r="H43" i="8" s="1"/>
  <c r="B43" i="8"/>
  <c r="B41" i="22"/>
  <c r="B33" i="42"/>
  <c r="F33" i="42"/>
  <c r="G33" i="42" s="1"/>
  <c r="B41" i="25"/>
  <c r="B37" i="29"/>
  <c r="F34" i="39"/>
  <c r="G34" i="39" s="1"/>
  <c r="B34" i="39"/>
  <c r="I41" i="4"/>
  <c r="B37" i="31"/>
  <c r="I33" i="45"/>
  <c r="F40" i="23"/>
  <c r="H40" i="23" s="1"/>
  <c r="B40" i="23"/>
  <c r="F36" i="30"/>
  <c r="H36" i="30" s="1"/>
  <c r="B36" i="30"/>
  <c r="D45" i="9"/>
  <c r="E45" i="9"/>
  <c r="F45" i="7"/>
  <c r="H45" i="7" s="1"/>
  <c r="B45" i="7"/>
  <c r="I42" i="6"/>
  <c r="I39" i="23"/>
  <c r="I45" i="10"/>
  <c r="B37" i="28"/>
  <c r="F37" i="28"/>
  <c r="H37" i="28" s="1"/>
  <c r="B35" i="37"/>
  <c r="F35" i="37"/>
  <c r="H35" i="37" s="1"/>
  <c r="I44" i="7"/>
  <c r="F43" i="6"/>
  <c r="H43" i="6" s="1"/>
  <c r="B43" i="6"/>
  <c r="F42" i="5"/>
  <c r="H42" i="5" s="1"/>
  <c r="B42" i="5"/>
  <c r="B42" i="3"/>
  <c r="F42" i="3"/>
  <c r="H42" i="3" s="1"/>
  <c r="I35" i="30"/>
  <c r="I43" i="11"/>
  <c r="F34" i="38"/>
  <c r="G34" i="38" s="1"/>
  <c r="B34" i="38"/>
  <c r="B46" i="10"/>
  <c r="F46" i="10"/>
  <c r="H46" i="10" s="1"/>
  <c r="I38" i="24"/>
  <c r="I42" i="8"/>
  <c r="I40" i="22"/>
  <c r="B32" i="43"/>
  <c r="F32" i="43"/>
  <c r="G32" i="43" s="1"/>
  <c r="I40" i="25"/>
  <c r="F42" i="4"/>
  <c r="G42" i="4" s="1"/>
  <c r="B42" i="4"/>
  <c r="B33" i="41"/>
  <c r="F33" i="41"/>
  <c r="G33" i="41" s="1"/>
  <c r="I36" i="31"/>
  <c r="F33" i="40"/>
  <c r="B33" i="40"/>
  <c r="F34" i="45"/>
  <c r="G34" i="45" s="1"/>
  <c r="B34" i="45"/>
  <c r="H115" i="13"/>
  <c r="I115" i="13"/>
  <c r="B116" i="13"/>
  <c r="E116" i="13"/>
  <c r="F116" i="13" s="1"/>
  <c r="E34" i="13" l="1"/>
  <c r="F34" i="13" s="1"/>
  <c r="B34" i="13"/>
  <c r="G37" i="31"/>
  <c r="G36" i="30"/>
  <c r="G37" i="29"/>
  <c r="G37" i="28"/>
  <c r="G38" i="27"/>
  <c r="H41" i="25"/>
  <c r="H39" i="24"/>
  <c r="G40" i="23"/>
  <c r="H41" i="22"/>
  <c r="G41" i="22"/>
  <c r="G44" i="11"/>
  <c r="G46" i="10"/>
  <c r="G43" i="8"/>
  <c r="G45" i="7"/>
  <c r="G43" i="6"/>
  <c r="G42" i="5"/>
  <c r="H42" i="4"/>
  <c r="G42" i="3"/>
  <c r="G34" i="44"/>
  <c r="D35" i="44"/>
  <c r="H34" i="44"/>
  <c r="H33" i="41"/>
  <c r="I33" i="41" s="1"/>
  <c r="H34" i="38"/>
  <c r="D39" i="27"/>
  <c r="I44" i="9"/>
  <c r="H33" i="42"/>
  <c r="I33" i="42" s="1"/>
  <c r="D34" i="40"/>
  <c r="E34" i="40"/>
  <c r="D43" i="5"/>
  <c r="D36" i="37"/>
  <c r="E36" i="37" s="1"/>
  <c r="D38" i="28"/>
  <c r="E38" i="28"/>
  <c r="D46" i="7"/>
  <c r="E46" i="7"/>
  <c r="B45" i="9"/>
  <c r="F45" i="9"/>
  <c r="H45" i="9" s="1"/>
  <c r="D41" i="23"/>
  <c r="E41" i="23"/>
  <c r="H34" i="39"/>
  <c r="I34" i="39" s="1"/>
  <c r="I33" i="46"/>
  <c r="D38" i="29"/>
  <c r="E38" i="29"/>
  <c r="D42" i="22"/>
  <c r="E42" i="22"/>
  <c r="D35" i="45"/>
  <c r="E35" i="45" s="1"/>
  <c r="D43" i="4"/>
  <c r="E43" i="4"/>
  <c r="H34" i="45"/>
  <c r="I34" i="45" s="1"/>
  <c r="H33" i="40"/>
  <c r="D34" i="41"/>
  <c r="E34" i="41"/>
  <c r="D47" i="10"/>
  <c r="D35" i="38"/>
  <c r="E35" i="38" s="1"/>
  <c r="D43" i="3"/>
  <c r="G35" i="37"/>
  <c r="I35" i="37" s="1"/>
  <c r="D42" i="25"/>
  <c r="D44" i="8"/>
  <c r="E44" i="8"/>
  <c r="D45" i="11"/>
  <c r="E45" i="11"/>
  <c r="D33" i="43"/>
  <c r="E33" i="43"/>
  <c r="D35" i="39"/>
  <c r="E35" i="39"/>
  <c r="D40" i="24"/>
  <c r="E40" i="24"/>
  <c r="G33" i="40"/>
  <c r="H32" i="43"/>
  <c r="I32" i="43" s="1"/>
  <c r="I34" i="38"/>
  <c r="D44" i="6"/>
  <c r="D37" i="30"/>
  <c r="D38" i="31"/>
  <c r="D34" i="42"/>
  <c r="E34" i="42" s="1"/>
  <c r="B34" i="46"/>
  <c r="F34" i="46"/>
  <c r="G34" i="46" s="1"/>
  <c r="J115" i="13"/>
  <c r="G116" i="13"/>
  <c r="D117" i="13"/>
  <c r="E117" i="13" s="1"/>
  <c r="G34" i="13" l="1"/>
  <c r="H34" i="13"/>
  <c r="D35" i="13"/>
  <c r="I34" i="44"/>
  <c r="E38" i="31"/>
  <c r="E37" i="30"/>
  <c r="E42" i="25"/>
  <c r="E47" i="10"/>
  <c r="F47" i="10" s="1"/>
  <c r="G47" i="10" s="1"/>
  <c r="G45" i="9"/>
  <c r="E44" i="6"/>
  <c r="E43" i="5"/>
  <c r="F43" i="5" s="1"/>
  <c r="G43" i="5" s="1"/>
  <c r="E43" i="3"/>
  <c r="F43" i="3" s="1"/>
  <c r="H43" i="3" s="1"/>
  <c r="I41" i="22"/>
  <c r="E35" i="44"/>
  <c r="F35" i="44" s="1"/>
  <c r="H35" i="44" s="1"/>
  <c r="B35" i="44"/>
  <c r="I41" i="25"/>
  <c r="I45" i="7"/>
  <c r="I38" i="27"/>
  <c r="I40" i="23"/>
  <c r="B39" i="27"/>
  <c r="I44" i="11"/>
  <c r="I43" i="8"/>
  <c r="E39" i="27"/>
  <c r="F39" i="27" s="1"/>
  <c r="H39" i="27" s="1"/>
  <c r="F44" i="6"/>
  <c r="H44" i="6" s="1"/>
  <c r="B44" i="6"/>
  <c r="B35" i="38"/>
  <c r="F35" i="38"/>
  <c r="H35" i="38" s="1"/>
  <c r="B46" i="7"/>
  <c r="F46" i="7"/>
  <c r="H46" i="7" s="1"/>
  <c r="B34" i="40"/>
  <c r="F34" i="40"/>
  <c r="F34" i="42"/>
  <c r="G34" i="42" s="1"/>
  <c r="B34" i="42"/>
  <c r="F38" i="31"/>
  <c r="G38" i="31" s="1"/>
  <c r="B38" i="31"/>
  <c r="F37" i="30"/>
  <c r="H37" i="30" s="1"/>
  <c r="B37" i="30"/>
  <c r="B33" i="43"/>
  <c r="F33" i="43"/>
  <c r="H33" i="43" s="1"/>
  <c r="F42" i="25"/>
  <c r="H42" i="25" s="1"/>
  <c r="B42" i="25"/>
  <c r="I42" i="3"/>
  <c r="B47" i="10"/>
  <c r="B38" i="29"/>
  <c r="F38" i="29"/>
  <c r="H38" i="29" s="1"/>
  <c r="F36" i="37"/>
  <c r="H36" i="37" s="1"/>
  <c r="B36" i="37"/>
  <c r="B43" i="5"/>
  <c r="D35" i="46"/>
  <c r="E35" i="46" s="1"/>
  <c r="B43" i="4"/>
  <c r="F43" i="4"/>
  <c r="H43" i="4" s="1"/>
  <c r="H34" i="46"/>
  <c r="I34" i="46" s="1"/>
  <c r="I43" i="6"/>
  <c r="B43" i="3"/>
  <c r="I46" i="10"/>
  <c r="B34" i="41"/>
  <c r="F34" i="41"/>
  <c r="B35" i="45"/>
  <c r="F35" i="45"/>
  <c r="G35" i="45" s="1"/>
  <c r="I37" i="29"/>
  <c r="I37" i="28"/>
  <c r="I42" i="5"/>
  <c r="F40" i="24"/>
  <c r="H40" i="24" s="1"/>
  <c r="B40" i="24"/>
  <c r="F42" i="22"/>
  <c r="H42" i="22" s="1"/>
  <c r="B42" i="22"/>
  <c r="B41" i="23"/>
  <c r="F41" i="23"/>
  <c r="H41" i="23" s="1"/>
  <c r="I37" i="31"/>
  <c r="I36" i="30"/>
  <c r="I39" i="24"/>
  <c r="F35" i="39"/>
  <c r="B35" i="39"/>
  <c r="B45" i="11"/>
  <c r="F45" i="11"/>
  <c r="H45" i="11" s="1"/>
  <c r="F44" i="8"/>
  <c r="H44" i="8" s="1"/>
  <c r="B44" i="8"/>
  <c r="I33" i="40"/>
  <c r="I42" i="4"/>
  <c r="D46" i="9"/>
  <c r="B38" i="28"/>
  <c r="F38" i="28"/>
  <c r="G38" i="28" s="1"/>
  <c r="I116" i="13"/>
  <c r="H116" i="13"/>
  <c r="B117" i="13"/>
  <c r="F117" i="13"/>
  <c r="I34" i="13" l="1"/>
  <c r="H43" i="5"/>
  <c r="B35" i="13"/>
  <c r="E35" i="13"/>
  <c r="F35" i="13" s="1"/>
  <c r="H35" i="13" s="1"/>
  <c r="H38" i="31"/>
  <c r="G37" i="30"/>
  <c r="G38" i="29"/>
  <c r="H38" i="28"/>
  <c r="G39" i="27"/>
  <c r="G42" i="25"/>
  <c r="G40" i="24"/>
  <c r="G41" i="23"/>
  <c r="G42" i="22"/>
  <c r="G45" i="11"/>
  <c r="H47" i="10"/>
  <c r="E46" i="9"/>
  <c r="F46" i="9" s="1"/>
  <c r="H46" i="9" s="1"/>
  <c r="G44" i="8"/>
  <c r="G46" i="7"/>
  <c r="G44" i="6"/>
  <c r="G43" i="4"/>
  <c r="G43" i="3"/>
  <c r="G35" i="44"/>
  <c r="I35" i="44" s="1"/>
  <c r="D36" i="44"/>
  <c r="G36" i="37"/>
  <c r="I36" i="37" s="1"/>
  <c r="H34" i="42"/>
  <c r="I34" i="42" s="1"/>
  <c r="D40" i="27"/>
  <c r="D46" i="11"/>
  <c r="E46" i="11"/>
  <c r="D35" i="41"/>
  <c r="E35" i="41"/>
  <c r="D35" i="40"/>
  <c r="E35" i="40"/>
  <c r="D47" i="7"/>
  <c r="E47" i="7"/>
  <c r="D36" i="39"/>
  <c r="E36" i="39"/>
  <c r="D42" i="23"/>
  <c r="E42" i="23"/>
  <c r="D39" i="29"/>
  <c r="D34" i="43"/>
  <c r="E34" i="43"/>
  <c r="D38" i="30"/>
  <c r="E38" i="30"/>
  <c r="D43" i="22"/>
  <c r="E43" i="22"/>
  <c r="D44" i="3"/>
  <c r="E44" i="3"/>
  <c r="D39" i="28"/>
  <c r="E39" i="28"/>
  <c r="B46" i="9"/>
  <c r="G35" i="39"/>
  <c r="D41" i="24"/>
  <c r="E41" i="24"/>
  <c r="D36" i="45"/>
  <c r="E36" i="45" s="1"/>
  <c r="H34" i="41"/>
  <c r="B35" i="46"/>
  <c r="F35" i="46"/>
  <c r="G35" i="46" s="1"/>
  <c r="G33" i="43"/>
  <c r="I33" i="43" s="1"/>
  <c r="G34" i="40"/>
  <c r="D36" i="38"/>
  <c r="E36" i="38" s="1"/>
  <c r="E48" i="10"/>
  <c r="D48" i="10"/>
  <c r="I45" i="9"/>
  <c r="D45" i="8"/>
  <c r="E45" i="8"/>
  <c r="H35" i="39"/>
  <c r="H35" i="45"/>
  <c r="I35" i="45" s="1"/>
  <c r="G34" i="41"/>
  <c r="D44" i="4"/>
  <c r="E44" i="4"/>
  <c r="D44" i="5"/>
  <c r="E44" i="5"/>
  <c r="D37" i="37"/>
  <c r="E37" i="37" s="1"/>
  <c r="D43" i="25"/>
  <c r="D39" i="31"/>
  <c r="D35" i="42"/>
  <c r="E35" i="42"/>
  <c r="H34" i="40"/>
  <c r="G35" i="38"/>
  <c r="I35" i="38" s="1"/>
  <c r="D45" i="6"/>
  <c r="G117" i="13"/>
  <c r="D118" i="13"/>
  <c r="E118" i="13" s="1"/>
  <c r="J116" i="13"/>
  <c r="D36" i="13" l="1"/>
  <c r="G35" i="13"/>
  <c r="I35" i="13" s="1"/>
  <c r="E39" i="31"/>
  <c r="F39" i="31" s="1"/>
  <c r="H39" i="31" s="1"/>
  <c r="E39" i="29"/>
  <c r="F39" i="29" s="1"/>
  <c r="H39" i="29" s="1"/>
  <c r="E43" i="25"/>
  <c r="G46" i="9"/>
  <c r="E45" i="6"/>
  <c r="I37" i="30"/>
  <c r="I38" i="28"/>
  <c r="I42" i="25"/>
  <c r="I43" i="4"/>
  <c r="E36" i="44"/>
  <c r="F36" i="44" s="1"/>
  <c r="G36" i="44" s="1"/>
  <c r="B36" i="44"/>
  <c r="I46" i="7"/>
  <c r="I34" i="40"/>
  <c r="I45" i="11"/>
  <c r="I44" i="6"/>
  <c r="I47" i="10"/>
  <c r="I39" i="27"/>
  <c r="I34" i="41"/>
  <c r="B40" i="27"/>
  <c r="I41" i="23"/>
  <c r="I35" i="39"/>
  <c r="I44" i="8"/>
  <c r="I43" i="3"/>
  <c r="E40" i="27"/>
  <c r="F40" i="27" s="1"/>
  <c r="H40" i="27" s="1"/>
  <c r="F41" i="24"/>
  <c r="G41" i="24" s="1"/>
  <c r="B41" i="24"/>
  <c r="D47" i="9"/>
  <c r="E47" i="9"/>
  <c r="B34" i="43"/>
  <c r="F34" i="43"/>
  <c r="H34" i="43" s="1"/>
  <c r="F47" i="7"/>
  <c r="G47" i="7" s="1"/>
  <c r="B47" i="7"/>
  <c r="F45" i="6"/>
  <c r="H45" i="6" s="1"/>
  <c r="B45" i="6"/>
  <c r="B39" i="31"/>
  <c r="B43" i="25"/>
  <c r="F43" i="25"/>
  <c r="G43" i="25" s="1"/>
  <c r="B45" i="8"/>
  <c r="F45" i="8"/>
  <c r="H45" i="8" s="1"/>
  <c r="I42" i="22"/>
  <c r="F38" i="30"/>
  <c r="H38" i="30" s="1"/>
  <c r="B38" i="30"/>
  <c r="B36" i="38"/>
  <c r="F36" i="38"/>
  <c r="G36" i="38" s="1"/>
  <c r="D36" i="46"/>
  <c r="B39" i="28"/>
  <c r="F39" i="28"/>
  <c r="H39" i="28" s="1"/>
  <c r="F35" i="40"/>
  <c r="H35" i="40" s="1"/>
  <c r="B35" i="40"/>
  <c r="F35" i="42"/>
  <c r="H35" i="42" s="1"/>
  <c r="B35" i="42"/>
  <c r="I38" i="31"/>
  <c r="I43" i="5"/>
  <c r="B44" i="4"/>
  <c r="F44" i="4"/>
  <c r="H44" i="4" s="1"/>
  <c r="H35" i="46"/>
  <c r="I35" i="46" s="1"/>
  <c r="F36" i="45"/>
  <c r="H36" i="45" s="1"/>
  <c r="B36" i="45"/>
  <c r="I40" i="24"/>
  <c r="B43" i="22"/>
  <c r="F43" i="22"/>
  <c r="H43" i="22" s="1"/>
  <c r="I38" i="29"/>
  <c r="B42" i="23"/>
  <c r="F42" i="23"/>
  <c r="H42" i="23" s="1"/>
  <c r="F36" i="39"/>
  <c r="G36" i="39" s="1"/>
  <c r="B36" i="39"/>
  <c r="B37" i="37"/>
  <c r="F37" i="37"/>
  <c r="H37" i="37" s="1"/>
  <c r="F44" i="3"/>
  <c r="H44" i="3" s="1"/>
  <c r="B44" i="3"/>
  <c r="B39" i="29"/>
  <c r="F44" i="5"/>
  <c r="H44" i="5" s="1"/>
  <c r="B44" i="5"/>
  <c r="F48" i="10"/>
  <c r="H48" i="10" s="1"/>
  <c r="B48" i="10"/>
  <c r="B35" i="41"/>
  <c r="F35" i="41"/>
  <c r="G35" i="41" s="1"/>
  <c r="B46" i="11"/>
  <c r="F46" i="11"/>
  <c r="H46" i="11" s="1"/>
  <c r="F118" i="13"/>
  <c r="B118" i="13"/>
  <c r="H117" i="13"/>
  <c r="I117" i="13"/>
  <c r="E36" i="13" l="1"/>
  <c r="F36" i="13" s="1"/>
  <c r="B36" i="13"/>
  <c r="G39" i="31"/>
  <c r="G38" i="30"/>
  <c r="G39" i="29"/>
  <c r="G39" i="28"/>
  <c r="G40" i="27"/>
  <c r="H43" i="25"/>
  <c r="H41" i="24"/>
  <c r="G42" i="23"/>
  <c r="G43" i="22"/>
  <c r="G46" i="11"/>
  <c r="G48" i="10"/>
  <c r="G45" i="8"/>
  <c r="H47" i="7"/>
  <c r="G45" i="6"/>
  <c r="G44" i="5"/>
  <c r="G44" i="4"/>
  <c r="G44" i="3"/>
  <c r="D37" i="44"/>
  <c r="H36" i="44"/>
  <c r="I36" i="44" s="1"/>
  <c r="H35" i="41"/>
  <c r="I35" i="41" s="1"/>
  <c r="H36" i="39"/>
  <c r="I36" i="39" s="1"/>
  <c r="G34" i="43"/>
  <c r="I34" i="43" s="1"/>
  <c r="E41" i="27"/>
  <c r="D41" i="27"/>
  <c r="G37" i="37"/>
  <c r="I37" i="37" s="1"/>
  <c r="G36" i="45"/>
  <c r="I36" i="45" s="1"/>
  <c r="B36" i="46"/>
  <c r="D46" i="6"/>
  <c r="E46" i="6"/>
  <c r="B47" i="9"/>
  <c r="F47" i="9"/>
  <c r="H47" i="9" s="1"/>
  <c r="D45" i="5"/>
  <c r="D45" i="3"/>
  <c r="D37" i="39"/>
  <c r="E37" i="39"/>
  <c r="D44" i="22"/>
  <c r="E44" i="22"/>
  <c r="D45" i="4"/>
  <c r="E45" i="4"/>
  <c r="D40" i="28"/>
  <c r="E40" i="28"/>
  <c r="D37" i="38"/>
  <c r="E37" i="38" s="1"/>
  <c r="D46" i="8"/>
  <c r="D40" i="31"/>
  <c r="E40" i="31"/>
  <c r="D48" i="7"/>
  <c r="E48" i="7"/>
  <c r="D36" i="40"/>
  <c r="E36" i="40" s="1"/>
  <c r="D38" i="37"/>
  <c r="E38" i="37" s="1"/>
  <c r="D43" i="23"/>
  <c r="G35" i="40"/>
  <c r="I35" i="40" s="1"/>
  <c r="I46" i="9"/>
  <c r="D47" i="11"/>
  <c r="E47" i="11"/>
  <c r="D36" i="42"/>
  <c r="E36" i="42" s="1"/>
  <c r="D36" i="41"/>
  <c r="E36" i="41"/>
  <c r="D49" i="10"/>
  <c r="E49" i="10"/>
  <c r="D40" i="29"/>
  <c r="E40" i="29"/>
  <c r="D37" i="45"/>
  <c r="G35" i="42"/>
  <c r="I35" i="42" s="1"/>
  <c r="E36" i="46"/>
  <c r="F36" i="46" s="1"/>
  <c r="H36" i="38"/>
  <c r="I36" i="38" s="1"/>
  <c r="D39" i="30"/>
  <c r="D44" i="25"/>
  <c r="D35" i="43"/>
  <c r="E35" i="43"/>
  <c r="D42" i="24"/>
  <c r="E42" i="24"/>
  <c r="J117" i="13"/>
  <c r="G118" i="13"/>
  <c r="D119" i="13"/>
  <c r="G36" i="13" l="1"/>
  <c r="H36" i="13"/>
  <c r="D37" i="13"/>
  <c r="E39" i="30"/>
  <c r="F39" i="30" s="1"/>
  <c r="H39" i="30" s="1"/>
  <c r="E44" i="25"/>
  <c r="E43" i="23"/>
  <c r="G47" i="9"/>
  <c r="E46" i="8"/>
  <c r="F46" i="8" s="1"/>
  <c r="H46" i="8" s="1"/>
  <c r="E45" i="5"/>
  <c r="E45" i="3"/>
  <c r="I43" i="22"/>
  <c r="E37" i="44"/>
  <c r="F37" i="44" s="1"/>
  <c r="B37" i="44"/>
  <c r="I39" i="31"/>
  <c r="I44" i="3"/>
  <c r="I45" i="8"/>
  <c r="I44" i="5"/>
  <c r="I40" i="27"/>
  <c r="I43" i="25"/>
  <c r="I42" i="23"/>
  <c r="I48" i="10"/>
  <c r="I46" i="11"/>
  <c r="F41" i="27"/>
  <c r="H41" i="27" s="1"/>
  <c r="B41" i="27"/>
  <c r="D37" i="46"/>
  <c r="H36" i="46"/>
  <c r="G36" i="46"/>
  <c r="B37" i="38"/>
  <c r="F37" i="38"/>
  <c r="H37" i="38" s="1"/>
  <c r="I38" i="30"/>
  <c r="F36" i="42"/>
  <c r="G36" i="42" s="1"/>
  <c r="B36" i="42"/>
  <c r="F43" i="23"/>
  <c r="G43" i="23" s="1"/>
  <c r="B43" i="23"/>
  <c r="F45" i="3"/>
  <c r="H45" i="3" s="1"/>
  <c r="B45" i="3"/>
  <c r="F36" i="40"/>
  <c r="G36" i="40" s="1"/>
  <c r="B36" i="40"/>
  <c r="B46" i="8"/>
  <c r="B42" i="24"/>
  <c r="F42" i="24"/>
  <c r="H42" i="24" s="1"/>
  <c r="F35" i="43"/>
  <c r="H35" i="43" s="1"/>
  <c r="B35" i="43"/>
  <c r="F44" i="25"/>
  <c r="H44" i="25" s="1"/>
  <c r="B44" i="25"/>
  <c r="B37" i="45"/>
  <c r="I39" i="29"/>
  <c r="F36" i="41"/>
  <c r="G36" i="41" s="1"/>
  <c r="B36" i="41"/>
  <c r="I47" i="7"/>
  <c r="F40" i="28"/>
  <c r="G40" i="28" s="1"/>
  <c r="B40" i="28"/>
  <c r="F45" i="4"/>
  <c r="G45" i="4" s="1"/>
  <c r="B45" i="4"/>
  <c r="F44" i="22"/>
  <c r="H44" i="22" s="1"/>
  <c r="B44" i="22"/>
  <c r="F37" i="39"/>
  <c r="H37" i="39" s="1"/>
  <c r="B37" i="39"/>
  <c r="F45" i="5"/>
  <c r="H45" i="5" s="1"/>
  <c r="B45" i="5"/>
  <c r="B46" i="6"/>
  <c r="F46" i="6"/>
  <c r="H46" i="6" s="1"/>
  <c r="B39" i="30"/>
  <c r="I41" i="24"/>
  <c r="E37" i="45"/>
  <c r="F37" i="45" s="1"/>
  <c r="B40" i="29"/>
  <c r="F40" i="29"/>
  <c r="H40" i="29" s="1"/>
  <c r="F49" i="10"/>
  <c r="G49" i="10" s="1"/>
  <c r="B49" i="10"/>
  <c r="F47" i="11"/>
  <c r="G47" i="11" s="1"/>
  <c r="B47" i="11"/>
  <c r="B38" i="37"/>
  <c r="F38" i="37"/>
  <c r="F48" i="7"/>
  <c r="H48" i="7" s="1"/>
  <c r="B48" i="7"/>
  <c r="B40" i="31"/>
  <c r="F40" i="31"/>
  <c r="G40" i="31" s="1"/>
  <c r="I39" i="28"/>
  <c r="I44" i="4"/>
  <c r="E48" i="9"/>
  <c r="D48" i="9"/>
  <c r="I45" i="6"/>
  <c r="B119" i="13"/>
  <c r="E119" i="13"/>
  <c r="F119" i="13" s="1"/>
  <c r="H118" i="13"/>
  <c r="I118" i="13"/>
  <c r="I36" i="13" l="1"/>
  <c r="E37" i="13"/>
  <c r="B37" i="13"/>
  <c r="F37" i="13"/>
  <c r="H40" i="31"/>
  <c r="G39" i="30"/>
  <c r="G40" i="29"/>
  <c r="H40" i="28"/>
  <c r="G41" i="27"/>
  <c r="G44" i="25"/>
  <c r="G42" i="24"/>
  <c r="H43" i="23"/>
  <c r="G44" i="22"/>
  <c r="H47" i="11"/>
  <c r="H49" i="10"/>
  <c r="G46" i="8"/>
  <c r="G48" i="7"/>
  <c r="G46" i="6"/>
  <c r="G45" i="5"/>
  <c r="H45" i="4"/>
  <c r="G45" i="3"/>
  <c r="H37" i="44"/>
  <c r="G37" i="44"/>
  <c r="I37" i="44" s="1"/>
  <c r="D38" i="44"/>
  <c r="G37" i="38"/>
  <c r="I37" i="38" s="1"/>
  <c r="E42" i="27"/>
  <c r="D42" i="27"/>
  <c r="G37" i="39"/>
  <c r="I37" i="39" s="1"/>
  <c r="G35" i="43"/>
  <c r="I35" i="43" s="1"/>
  <c r="D38" i="45"/>
  <c r="E38" i="45" s="1"/>
  <c r="H37" i="45"/>
  <c r="G37" i="45"/>
  <c r="D39" i="37"/>
  <c r="E39" i="37"/>
  <c r="D41" i="29"/>
  <c r="E41" i="29"/>
  <c r="D44" i="23"/>
  <c r="J118" i="13"/>
  <c r="I47" i="9"/>
  <c r="G38" i="37"/>
  <c r="D48" i="11"/>
  <c r="D40" i="30"/>
  <c r="D46" i="5"/>
  <c r="D38" i="39"/>
  <c r="E38" i="39"/>
  <c r="D46" i="4"/>
  <c r="D43" i="24"/>
  <c r="E43" i="24"/>
  <c r="I36" i="46"/>
  <c r="D37" i="41"/>
  <c r="E37" i="41"/>
  <c r="D45" i="25"/>
  <c r="E45" i="25"/>
  <c r="D47" i="8"/>
  <c r="E47" i="8"/>
  <c r="D37" i="40"/>
  <c r="E37" i="40"/>
  <c r="D37" i="42"/>
  <c r="E37" i="42"/>
  <c r="F48" i="9"/>
  <c r="H48" i="9" s="1"/>
  <c r="B48" i="9"/>
  <c r="D49" i="7"/>
  <c r="D47" i="6"/>
  <c r="H36" i="40"/>
  <c r="I36" i="40" s="1"/>
  <c r="D46" i="3"/>
  <c r="E46" i="3"/>
  <c r="D38" i="38"/>
  <c r="E38" i="38"/>
  <c r="B37" i="46"/>
  <c r="D41" i="31"/>
  <c r="H38" i="37"/>
  <c r="D50" i="10"/>
  <c r="E50" i="10"/>
  <c r="D45" i="22"/>
  <c r="E45" i="22"/>
  <c r="D41" i="28"/>
  <c r="E41" i="28"/>
  <c r="H36" i="41"/>
  <c r="I36" i="41" s="1"/>
  <c r="D36" i="43"/>
  <c r="E36" i="43"/>
  <c r="H36" i="42"/>
  <c r="I36" i="42" s="1"/>
  <c r="E37" i="46"/>
  <c r="F37" i="46" s="1"/>
  <c r="D120" i="13"/>
  <c r="G119" i="13"/>
  <c r="G37" i="13" l="1"/>
  <c r="D38" i="13"/>
  <c r="H37" i="13"/>
  <c r="I37" i="13" s="1"/>
  <c r="E41" i="31"/>
  <c r="F41" i="31" s="1"/>
  <c r="H41" i="31" s="1"/>
  <c r="E40" i="30"/>
  <c r="E44" i="23"/>
  <c r="F44" i="23" s="1"/>
  <c r="H44" i="23" s="1"/>
  <c r="E48" i="11"/>
  <c r="F48" i="11" s="1"/>
  <c r="H48" i="11" s="1"/>
  <c r="G48" i="9"/>
  <c r="E49" i="7"/>
  <c r="E47" i="6"/>
  <c r="F47" i="6" s="1"/>
  <c r="H47" i="6" s="1"/>
  <c r="E46" i="5"/>
  <c r="E46" i="4"/>
  <c r="F46" i="4" s="1"/>
  <c r="H46" i="4" s="1"/>
  <c r="I38" i="37"/>
  <c r="E38" i="44"/>
  <c r="F38" i="44" s="1"/>
  <c r="B38" i="44"/>
  <c r="I44" i="25"/>
  <c r="I42" i="24"/>
  <c r="I45" i="4"/>
  <c r="I40" i="29"/>
  <c r="I44" i="22"/>
  <c r="I49" i="10"/>
  <c r="I40" i="31"/>
  <c r="I46" i="8"/>
  <c r="I45" i="5"/>
  <c r="I39" i="30"/>
  <c r="F42" i="27"/>
  <c r="G42" i="27" s="1"/>
  <c r="B42" i="27"/>
  <c r="I43" i="23"/>
  <c r="I41" i="27"/>
  <c r="D38" i="46"/>
  <c r="E38" i="46" s="1"/>
  <c r="H37" i="46"/>
  <c r="G37" i="46"/>
  <c r="B46" i="3"/>
  <c r="F46" i="3"/>
  <c r="H46" i="3" s="1"/>
  <c r="B40" i="30"/>
  <c r="F40" i="30"/>
  <c r="H40" i="30" s="1"/>
  <c r="B41" i="28"/>
  <c r="F41" i="28"/>
  <c r="H41" i="28" s="1"/>
  <c r="F38" i="38"/>
  <c r="H38" i="38" s="1"/>
  <c r="B38" i="38"/>
  <c r="I45" i="3"/>
  <c r="D49" i="9"/>
  <c r="E49" i="9"/>
  <c r="B37" i="40"/>
  <c r="F37" i="40"/>
  <c r="H37" i="40" s="1"/>
  <c r="B47" i="8"/>
  <c r="F47" i="8"/>
  <c r="G47" i="8" s="1"/>
  <c r="B43" i="24"/>
  <c r="F43" i="24"/>
  <c r="H43" i="24" s="1"/>
  <c r="B38" i="39"/>
  <c r="F38" i="39"/>
  <c r="H38" i="39" s="1"/>
  <c r="B48" i="11"/>
  <c r="I37" i="45"/>
  <c r="B46" i="5"/>
  <c r="F46" i="5"/>
  <c r="G46" i="5" s="1"/>
  <c r="B44" i="23"/>
  <c r="B36" i="43"/>
  <c r="F36" i="43"/>
  <c r="G36" i="43" s="1"/>
  <c r="I40" i="28"/>
  <c r="B45" i="22"/>
  <c r="F45" i="22"/>
  <c r="H45" i="22" s="1"/>
  <c r="B50" i="10"/>
  <c r="F50" i="10"/>
  <c r="H50" i="10" s="1"/>
  <c r="B47" i="6"/>
  <c r="I48" i="7"/>
  <c r="B41" i="31"/>
  <c r="I46" i="6"/>
  <c r="B49" i="7"/>
  <c r="F49" i="7"/>
  <c r="G49" i="7" s="1"/>
  <c r="B37" i="42"/>
  <c r="F37" i="42"/>
  <c r="H37" i="42" s="1"/>
  <c r="F45" i="25"/>
  <c r="G45" i="25" s="1"/>
  <c r="B45" i="25"/>
  <c r="B37" i="41"/>
  <c r="F37" i="41"/>
  <c r="H37" i="41" s="1"/>
  <c r="B46" i="4"/>
  <c r="I47" i="11"/>
  <c r="B41" i="29"/>
  <c r="F41" i="29"/>
  <c r="H41" i="29" s="1"/>
  <c r="B39" i="37"/>
  <c r="F39" i="37"/>
  <c r="H39" i="37" s="1"/>
  <c r="F38" i="45"/>
  <c r="G38" i="45" s="1"/>
  <c r="B38" i="45"/>
  <c r="H119" i="13"/>
  <c r="I119" i="13"/>
  <c r="B120" i="13"/>
  <c r="E120" i="13"/>
  <c r="F120" i="13" s="1"/>
  <c r="H42" i="27" l="1"/>
  <c r="G40" i="30"/>
  <c r="E38" i="13"/>
  <c r="F38" i="13" s="1"/>
  <c r="B38" i="13"/>
  <c r="G41" i="31"/>
  <c r="G41" i="29"/>
  <c r="G41" i="28"/>
  <c r="H45" i="25"/>
  <c r="G43" i="24"/>
  <c r="G44" i="23"/>
  <c r="G45" i="22"/>
  <c r="G48" i="11"/>
  <c r="G50" i="10"/>
  <c r="H47" i="8"/>
  <c r="H49" i="7"/>
  <c r="G47" i="6"/>
  <c r="H46" i="5"/>
  <c r="G46" i="4"/>
  <c r="G46" i="3"/>
  <c r="G38" i="44"/>
  <c r="H38" i="44"/>
  <c r="D39" i="44"/>
  <c r="H38" i="45"/>
  <c r="I38" i="45" s="1"/>
  <c r="G37" i="40"/>
  <c r="I37" i="40" s="1"/>
  <c r="G38" i="38"/>
  <c r="I38" i="38" s="1"/>
  <c r="G37" i="41"/>
  <c r="I37" i="41" s="1"/>
  <c r="G37" i="42"/>
  <c r="I37" i="42" s="1"/>
  <c r="D43" i="27"/>
  <c r="D46" i="22"/>
  <c r="E46" i="22"/>
  <c r="D46" i="25"/>
  <c r="E46" i="25"/>
  <c r="D37" i="43"/>
  <c r="E37" i="43"/>
  <c r="G38" i="39"/>
  <c r="I38" i="39" s="1"/>
  <c r="D44" i="24"/>
  <c r="E44" i="24"/>
  <c r="I48" i="9"/>
  <c r="I37" i="46"/>
  <c r="D41" i="30"/>
  <c r="D39" i="45"/>
  <c r="E39" i="45" s="1"/>
  <c r="D38" i="41"/>
  <c r="E38" i="41" s="1"/>
  <c r="D50" i="7"/>
  <c r="D42" i="31"/>
  <c r="D51" i="10"/>
  <c r="E51" i="10"/>
  <c r="D38" i="40"/>
  <c r="E38" i="40"/>
  <c r="D42" i="28"/>
  <c r="D47" i="3"/>
  <c r="E47" i="3"/>
  <c r="E40" i="37"/>
  <c r="D40" i="37"/>
  <c r="D48" i="6"/>
  <c r="D47" i="5"/>
  <c r="G39" i="37"/>
  <c r="I39" i="37" s="1"/>
  <c r="D42" i="29"/>
  <c r="D47" i="4"/>
  <c r="D38" i="42"/>
  <c r="E38" i="42"/>
  <c r="H36" i="43"/>
  <c r="I36" i="43" s="1"/>
  <c r="D45" i="23"/>
  <c r="D49" i="11"/>
  <c r="D39" i="39"/>
  <c r="E39" i="39"/>
  <c r="D48" i="8"/>
  <c r="E48" i="8"/>
  <c r="F49" i="9"/>
  <c r="H49" i="9" s="1"/>
  <c r="B49" i="9"/>
  <c r="D39" i="38"/>
  <c r="E39" i="38"/>
  <c r="F38" i="46"/>
  <c r="H38" i="46" s="1"/>
  <c r="B38" i="46"/>
  <c r="J119" i="13"/>
  <c r="G120" i="13"/>
  <c r="D121" i="13"/>
  <c r="G38" i="13" l="1"/>
  <c r="D39" i="13"/>
  <c r="H38" i="13"/>
  <c r="E42" i="31"/>
  <c r="F42" i="31" s="1"/>
  <c r="G42" i="31" s="1"/>
  <c r="E41" i="30"/>
  <c r="E42" i="29"/>
  <c r="E42" i="28"/>
  <c r="F42" i="28" s="1"/>
  <c r="G42" i="28" s="1"/>
  <c r="E45" i="23"/>
  <c r="F45" i="23" s="1"/>
  <c r="H45" i="23" s="1"/>
  <c r="E49" i="11"/>
  <c r="G49" i="9"/>
  <c r="E50" i="7"/>
  <c r="E48" i="6"/>
  <c r="F48" i="6" s="1"/>
  <c r="H48" i="6" s="1"/>
  <c r="E47" i="5"/>
  <c r="E47" i="4"/>
  <c r="F47" i="4" s="1"/>
  <c r="G47" i="4" s="1"/>
  <c r="I38" i="44"/>
  <c r="E39" i="44"/>
  <c r="F39" i="44" s="1"/>
  <c r="B39" i="44"/>
  <c r="I46" i="5"/>
  <c r="I41" i="31"/>
  <c r="I43" i="24"/>
  <c r="I45" i="25"/>
  <c r="I47" i="8"/>
  <c r="I48" i="11"/>
  <c r="I46" i="4"/>
  <c r="I47" i="6"/>
  <c r="I50" i="10"/>
  <c r="I41" i="28"/>
  <c r="B43" i="27"/>
  <c r="I42" i="27"/>
  <c r="E43" i="27"/>
  <c r="F43" i="27" s="1"/>
  <c r="H43" i="27" s="1"/>
  <c r="B49" i="11"/>
  <c r="F49" i="11"/>
  <c r="H49" i="11" s="1"/>
  <c r="B47" i="4"/>
  <c r="B45" i="23"/>
  <c r="B38" i="42"/>
  <c r="F38" i="42"/>
  <c r="G38" i="42" s="1"/>
  <c r="B42" i="31"/>
  <c r="B50" i="7"/>
  <c r="F50" i="7"/>
  <c r="H50" i="7" s="1"/>
  <c r="I40" i="30"/>
  <c r="F46" i="22"/>
  <c r="H46" i="22" s="1"/>
  <c r="B46" i="22"/>
  <c r="D50" i="9"/>
  <c r="B47" i="5"/>
  <c r="F47" i="5"/>
  <c r="H47" i="5" s="1"/>
  <c r="B39" i="38"/>
  <c r="F39" i="38"/>
  <c r="G39" i="38" s="1"/>
  <c r="B39" i="39"/>
  <c r="F39" i="39"/>
  <c r="I44" i="23"/>
  <c r="B48" i="6"/>
  <c r="B47" i="3"/>
  <c r="F47" i="3"/>
  <c r="H47" i="3" s="1"/>
  <c r="B38" i="40"/>
  <c r="F38" i="40"/>
  <c r="G38" i="40" s="1"/>
  <c r="B51" i="10"/>
  <c r="F51" i="10"/>
  <c r="H51" i="10" s="1"/>
  <c r="I49" i="7"/>
  <c r="F39" i="45"/>
  <c r="B39" i="45"/>
  <c r="B41" i="30"/>
  <c r="F41" i="30"/>
  <c r="H41" i="30" s="1"/>
  <c r="D39" i="46"/>
  <c r="E39" i="46" s="1"/>
  <c r="F42" i="29"/>
  <c r="H42" i="29" s="1"/>
  <c r="B42" i="29"/>
  <c r="B42" i="28"/>
  <c r="F38" i="41"/>
  <c r="H38" i="41" s="1"/>
  <c r="B38" i="41"/>
  <c r="G38" i="46"/>
  <c r="I38" i="46" s="1"/>
  <c r="B48" i="8"/>
  <c r="F48" i="8"/>
  <c r="H48" i="8" s="1"/>
  <c r="I41" i="29"/>
  <c r="F40" i="37"/>
  <c r="B40" i="37"/>
  <c r="I46" i="3"/>
  <c r="F44" i="24"/>
  <c r="H44" i="24" s="1"/>
  <c r="B44" i="24"/>
  <c r="B37" i="43"/>
  <c r="F37" i="43"/>
  <c r="G37" i="43" s="1"/>
  <c r="F46" i="25"/>
  <c r="H46" i="25" s="1"/>
  <c r="B46" i="25"/>
  <c r="I45" i="22"/>
  <c r="B121" i="13"/>
  <c r="I120" i="13"/>
  <c r="H120" i="13"/>
  <c r="E121" i="13"/>
  <c r="F121" i="13" s="1"/>
  <c r="I38" i="13" l="1"/>
  <c r="E39" i="13"/>
  <c r="F39" i="13"/>
  <c r="B39" i="13"/>
  <c r="H42" i="31"/>
  <c r="G41" i="30"/>
  <c r="G42" i="29"/>
  <c r="H42" i="28"/>
  <c r="G43" i="27"/>
  <c r="G46" i="25"/>
  <c r="G44" i="24"/>
  <c r="G45" i="23"/>
  <c r="G46" i="22"/>
  <c r="G49" i="11"/>
  <c r="G51" i="10"/>
  <c r="E50" i="9"/>
  <c r="F50" i="9" s="1"/>
  <c r="H50" i="9" s="1"/>
  <c r="G48" i="8"/>
  <c r="G50" i="7"/>
  <c r="G48" i="6"/>
  <c r="G47" i="5"/>
  <c r="H47" i="4"/>
  <c r="G47" i="3"/>
  <c r="H39" i="44"/>
  <c r="G39" i="44"/>
  <c r="D40" i="44"/>
  <c r="H38" i="40"/>
  <c r="I38" i="40" s="1"/>
  <c r="D44" i="27"/>
  <c r="E44" i="27"/>
  <c r="D47" i="25"/>
  <c r="E47" i="25"/>
  <c r="D43" i="29"/>
  <c r="E43" i="29"/>
  <c r="D40" i="45"/>
  <c r="B50" i="9"/>
  <c r="D48" i="4"/>
  <c r="E48" i="4"/>
  <c r="H39" i="45"/>
  <c r="D39" i="40"/>
  <c r="E39" i="40"/>
  <c r="D48" i="3"/>
  <c r="E48" i="3"/>
  <c r="D51" i="7"/>
  <c r="D46" i="23"/>
  <c r="E46" i="23"/>
  <c r="D50" i="11"/>
  <c r="E50" i="11"/>
  <c r="D41" i="37"/>
  <c r="E41" i="37" s="1"/>
  <c r="D39" i="41"/>
  <c r="E39" i="41"/>
  <c r="D42" i="30"/>
  <c r="E42" i="30"/>
  <c r="D40" i="39"/>
  <c r="E40" i="39"/>
  <c r="D48" i="5"/>
  <c r="D38" i="43"/>
  <c r="E38" i="43"/>
  <c r="H40" i="37"/>
  <c r="D49" i="8"/>
  <c r="D43" i="28"/>
  <c r="F39" i="46"/>
  <c r="H39" i="46" s="1"/>
  <c r="B39" i="46"/>
  <c r="G39" i="45"/>
  <c r="H39" i="39"/>
  <c r="D40" i="38"/>
  <c r="E40" i="38"/>
  <c r="D39" i="42"/>
  <c r="E39" i="42" s="1"/>
  <c r="H37" i="43"/>
  <c r="I37" i="43" s="1"/>
  <c r="D45" i="24"/>
  <c r="E45" i="24"/>
  <c r="G40" i="37"/>
  <c r="G38" i="41"/>
  <c r="I38" i="41" s="1"/>
  <c r="D52" i="10"/>
  <c r="D49" i="6"/>
  <c r="G39" i="39"/>
  <c r="H39" i="38"/>
  <c r="I39" i="38" s="1"/>
  <c r="I49" i="9"/>
  <c r="D47" i="22"/>
  <c r="D43" i="31"/>
  <c r="H38" i="42"/>
  <c r="I38" i="42" s="1"/>
  <c r="J120" i="13"/>
  <c r="D122" i="13"/>
  <c r="E122" i="13" s="1"/>
  <c r="G121" i="13"/>
  <c r="D40" i="13" l="1"/>
  <c r="H39" i="13"/>
  <c r="G39" i="13"/>
  <c r="E43" i="31"/>
  <c r="F43" i="31" s="1"/>
  <c r="H43" i="31" s="1"/>
  <c r="E43" i="28"/>
  <c r="E47" i="22"/>
  <c r="F47" i="22" s="1"/>
  <c r="H47" i="22" s="1"/>
  <c r="E52" i="10"/>
  <c r="F52" i="10" s="1"/>
  <c r="G52" i="10" s="1"/>
  <c r="G50" i="9"/>
  <c r="E49" i="8"/>
  <c r="E51" i="7"/>
  <c r="E49" i="6"/>
  <c r="F49" i="6" s="1"/>
  <c r="H49" i="6" s="1"/>
  <c r="E48" i="5"/>
  <c r="F48" i="5" s="1"/>
  <c r="H48" i="5" s="1"/>
  <c r="I39" i="44"/>
  <c r="E40" i="44"/>
  <c r="F40" i="44" s="1"/>
  <c r="H40" i="44" s="1"/>
  <c r="B40" i="44"/>
  <c r="I50" i="7"/>
  <c r="I47" i="3"/>
  <c r="I51" i="10"/>
  <c r="G39" i="46"/>
  <c r="I39" i="46" s="1"/>
  <c r="I42" i="28"/>
  <c r="I48" i="8"/>
  <c r="I41" i="30"/>
  <c r="B44" i="27"/>
  <c r="F44" i="27"/>
  <c r="G44" i="27" s="1"/>
  <c r="I44" i="24"/>
  <c r="I49" i="11"/>
  <c r="I43" i="27"/>
  <c r="B47" i="22"/>
  <c r="B52" i="10"/>
  <c r="F50" i="11"/>
  <c r="H50" i="11" s="1"/>
  <c r="B50" i="11"/>
  <c r="D51" i="9"/>
  <c r="E51" i="9"/>
  <c r="I39" i="39"/>
  <c r="I40" i="37"/>
  <c r="B40" i="39"/>
  <c r="F40" i="39"/>
  <c r="G40" i="39" s="1"/>
  <c r="B42" i="30"/>
  <c r="F42" i="30"/>
  <c r="H42" i="30" s="1"/>
  <c r="F51" i="7"/>
  <c r="H51" i="7" s="1"/>
  <c r="B51" i="7"/>
  <c r="B48" i="3"/>
  <c r="F48" i="3"/>
  <c r="H48" i="3" s="1"/>
  <c r="B39" i="40"/>
  <c r="F39" i="40"/>
  <c r="G39" i="40" s="1"/>
  <c r="B48" i="4"/>
  <c r="F48" i="4"/>
  <c r="H48" i="4" s="1"/>
  <c r="B40" i="45"/>
  <c r="F40" i="38"/>
  <c r="H40" i="38" s="1"/>
  <c r="B40" i="38"/>
  <c r="F46" i="23"/>
  <c r="H46" i="23" s="1"/>
  <c r="B46" i="23"/>
  <c r="F47" i="25"/>
  <c r="G47" i="25" s="1"/>
  <c r="B47" i="25"/>
  <c r="I42" i="31"/>
  <c r="I46" i="22"/>
  <c r="B49" i="6"/>
  <c r="F39" i="42"/>
  <c r="B39" i="42"/>
  <c r="D40" i="46"/>
  <c r="B48" i="5"/>
  <c r="I39" i="45"/>
  <c r="I47" i="4"/>
  <c r="E40" i="45"/>
  <c r="F40" i="45" s="1"/>
  <c r="I42" i="29"/>
  <c r="I46" i="25"/>
  <c r="B43" i="31"/>
  <c r="B45" i="24"/>
  <c r="F45" i="24"/>
  <c r="G45" i="24" s="1"/>
  <c r="F41" i="37"/>
  <c r="H41" i="37" s="1"/>
  <c r="B41" i="37"/>
  <c r="B43" i="29"/>
  <c r="F43" i="29"/>
  <c r="H43" i="29" s="1"/>
  <c r="I48" i="6"/>
  <c r="F43" i="28"/>
  <c r="H43" i="28" s="1"/>
  <c r="B43" i="28"/>
  <c r="F49" i="8"/>
  <c r="H49" i="8" s="1"/>
  <c r="B49" i="8"/>
  <c r="F38" i="43"/>
  <c r="H38" i="43" s="1"/>
  <c r="B38" i="43"/>
  <c r="I47" i="5"/>
  <c r="B39" i="41"/>
  <c r="F39" i="41"/>
  <c r="G39" i="41" s="1"/>
  <c r="I45" i="23"/>
  <c r="H121" i="13"/>
  <c r="I121" i="13"/>
  <c r="F122" i="13"/>
  <c r="B122" i="13"/>
  <c r="I39" i="13" l="1"/>
  <c r="E40" i="13"/>
  <c r="F40" i="13" s="1"/>
  <c r="B40" i="13"/>
  <c r="G43" i="31"/>
  <c r="G42" i="30"/>
  <c r="G43" i="29"/>
  <c r="G43" i="28"/>
  <c r="H44" i="27"/>
  <c r="H47" i="25"/>
  <c r="H45" i="24"/>
  <c r="G46" i="23"/>
  <c r="G47" i="22"/>
  <c r="G50" i="11"/>
  <c r="H52" i="10"/>
  <c r="G49" i="8"/>
  <c r="G51" i="7"/>
  <c r="G49" i="6"/>
  <c r="G48" i="5"/>
  <c r="G48" i="4"/>
  <c r="G48" i="3"/>
  <c r="G40" i="44"/>
  <c r="I40" i="44" s="1"/>
  <c r="D41" i="44"/>
  <c r="E41" i="44" s="1"/>
  <c r="I50" i="9"/>
  <c r="G40" i="38"/>
  <c r="I40" i="38" s="1"/>
  <c r="H39" i="40"/>
  <c r="D45" i="27"/>
  <c r="E45" i="27"/>
  <c r="D41" i="45"/>
  <c r="H40" i="45"/>
  <c r="G40" i="45"/>
  <c r="B40" i="46"/>
  <c r="D40" i="42"/>
  <c r="E40" i="42" s="1"/>
  <c r="I39" i="40"/>
  <c r="D53" i="10"/>
  <c r="D40" i="41"/>
  <c r="E40" i="41" s="1"/>
  <c r="D44" i="28"/>
  <c r="E44" i="28"/>
  <c r="D46" i="24"/>
  <c r="E40" i="46"/>
  <c r="F40" i="46" s="1"/>
  <c r="H39" i="42"/>
  <c r="D48" i="25"/>
  <c r="D52" i="7"/>
  <c r="D41" i="39"/>
  <c r="E41" i="39"/>
  <c r="F51" i="9"/>
  <c r="H51" i="9" s="1"/>
  <c r="B51" i="9"/>
  <c r="D42" i="37"/>
  <c r="E42" i="37"/>
  <c r="D49" i="4"/>
  <c r="E49" i="4"/>
  <c r="H39" i="41"/>
  <c r="I39" i="41" s="1"/>
  <c r="D49" i="5"/>
  <c r="E49" i="5"/>
  <c r="D50" i="6"/>
  <c r="D49" i="3"/>
  <c r="E49" i="3"/>
  <c r="D43" i="30"/>
  <c r="D48" i="22"/>
  <c r="D39" i="43"/>
  <c r="E39" i="43" s="1"/>
  <c r="D44" i="31"/>
  <c r="G38" i="43"/>
  <c r="I38" i="43" s="1"/>
  <c r="D50" i="8"/>
  <c r="D44" i="29"/>
  <c r="E44" i="29"/>
  <c r="G41" i="37"/>
  <c r="I41" i="37" s="1"/>
  <c r="G39" i="42"/>
  <c r="D47" i="23"/>
  <c r="D41" i="38"/>
  <c r="E41" i="38"/>
  <c r="D40" i="40"/>
  <c r="E40" i="40" s="1"/>
  <c r="H40" i="39"/>
  <c r="I40" i="39" s="1"/>
  <c r="D51" i="11"/>
  <c r="J121" i="13"/>
  <c r="D123" i="13"/>
  <c r="E123" i="13" s="1"/>
  <c r="G122" i="13"/>
  <c r="H40" i="13" l="1"/>
  <c r="G40" i="13"/>
  <c r="D41" i="13"/>
  <c r="E44" i="31"/>
  <c r="F44" i="31" s="1"/>
  <c r="G44" i="31" s="1"/>
  <c r="E43" i="30"/>
  <c r="E48" i="25"/>
  <c r="E46" i="24"/>
  <c r="F46" i="24" s="1"/>
  <c r="H46" i="24" s="1"/>
  <c r="E47" i="23"/>
  <c r="F47" i="23" s="1"/>
  <c r="G47" i="23" s="1"/>
  <c r="E48" i="22"/>
  <c r="E51" i="11"/>
  <c r="E53" i="10"/>
  <c r="F53" i="10" s="1"/>
  <c r="G53" i="10" s="1"/>
  <c r="G51" i="9"/>
  <c r="E50" i="8"/>
  <c r="E52" i="7"/>
  <c r="F52" i="7" s="1"/>
  <c r="H52" i="7" s="1"/>
  <c r="E50" i="6"/>
  <c r="F50" i="6" s="1"/>
  <c r="H50" i="6" s="1"/>
  <c r="I44" i="27"/>
  <c r="F41" i="44"/>
  <c r="G41" i="44" s="1"/>
  <c r="B41" i="44"/>
  <c r="I43" i="31"/>
  <c r="I47" i="22"/>
  <c r="I47" i="25"/>
  <c r="I48" i="5"/>
  <c r="I73" i="5" s="1"/>
  <c r="I42" i="30"/>
  <c r="I50" i="11"/>
  <c r="I48" i="3"/>
  <c r="I52" i="10"/>
  <c r="I45" i="24"/>
  <c r="B45" i="27"/>
  <c r="F45" i="27"/>
  <c r="H45" i="27" s="1"/>
  <c r="D41" i="46"/>
  <c r="G40" i="46"/>
  <c r="H40" i="46"/>
  <c r="F48" i="22"/>
  <c r="H48" i="22" s="1"/>
  <c r="B48" i="22"/>
  <c r="B50" i="6"/>
  <c r="B52" i="7"/>
  <c r="F44" i="28"/>
  <c r="G44" i="28" s="1"/>
  <c r="B44" i="28"/>
  <c r="B41" i="45"/>
  <c r="F41" i="38"/>
  <c r="G41" i="38" s="1"/>
  <c r="B41" i="38"/>
  <c r="B47" i="23"/>
  <c r="B44" i="29"/>
  <c r="F44" i="29"/>
  <c r="H44" i="29" s="1"/>
  <c r="I49" i="8"/>
  <c r="I48" i="4"/>
  <c r="F41" i="39"/>
  <c r="G41" i="39" s="1"/>
  <c r="B41" i="39"/>
  <c r="B53" i="10"/>
  <c r="F40" i="42"/>
  <c r="G40" i="42" s="1"/>
  <c r="B40" i="42"/>
  <c r="E41" i="45"/>
  <c r="F41" i="45" s="1"/>
  <c r="B44" i="31"/>
  <c r="F49" i="3"/>
  <c r="H49" i="3" s="1"/>
  <c r="B49" i="3"/>
  <c r="B48" i="25"/>
  <c r="F48" i="25"/>
  <c r="H48" i="25" s="1"/>
  <c r="B40" i="41"/>
  <c r="F40" i="41"/>
  <c r="F39" i="43"/>
  <c r="G39" i="43" s="1"/>
  <c r="B39" i="43"/>
  <c r="B43" i="30"/>
  <c r="F43" i="30"/>
  <c r="H43" i="30" s="1"/>
  <c r="F51" i="11"/>
  <c r="G51" i="11" s="1"/>
  <c r="B51" i="11"/>
  <c r="B40" i="40"/>
  <c r="F40" i="40"/>
  <c r="H40" i="40" s="1"/>
  <c r="I46" i="23"/>
  <c r="I43" i="29"/>
  <c r="B50" i="8"/>
  <c r="F50" i="8"/>
  <c r="G50" i="8" s="1"/>
  <c r="I49" i="6"/>
  <c r="B49" i="5"/>
  <c r="F49" i="5"/>
  <c r="H49" i="5" s="1"/>
  <c r="F49" i="4"/>
  <c r="H49" i="4" s="1"/>
  <c r="B49" i="4"/>
  <c r="B42" i="37"/>
  <c r="F42" i="37"/>
  <c r="G42" i="37" s="1"/>
  <c r="D52" i="9"/>
  <c r="E52" i="9"/>
  <c r="I51" i="7"/>
  <c r="I39" i="42"/>
  <c r="B46" i="24"/>
  <c r="I43" i="28"/>
  <c r="I40" i="45"/>
  <c r="I122" i="13"/>
  <c r="H122" i="13"/>
  <c r="F123" i="13"/>
  <c r="B123" i="13"/>
  <c r="I40" i="13" l="1"/>
  <c r="H53" i="10"/>
  <c r="E41" i="13"/>
  <c r="F41" i="13" s="1"/>
  <c r="B41" i="13"/>
  <c r="H44" i="31"/>
  <c r="G43" i="30"/>
  <c r="G44" i="29"/>
  <c r="H44" i="28"/>
  <c r="G45" i="27"/>
  <c r="G48" i="25"/>
  <c r="G46" i="24"/>
  <c r="H47" i="23"/>
  <c r="G48" i="22"/>
  <c r="H51" i="11"/>
  <c r="H50" i="8"/>
  <c r="G52" i="7"/>
  <c r="G50" i="6"/>
  <c r="G49" i="5"/>
  <c r="G49" i="4"/>
  <c r="G49" i="3"/>
  <c r="H41" i="44"/>
  <c r="I41" i="44" s="1"/>
  <c r="D42" i="44"/>
  <c r="G40" i="40"/>
  <c r="I40" i="40" s="1"/>
  <c r="H41" i="38"/>
  <c r="I41" i="38" s="1"/>
  <c r="I40" i="46"/>
  <c r="I51" i="9"/>
  <c r="H40" i="42"/>
  <c r="I40" i="42" s="1"/>
  <c r="H39" i="43"/>
  <c r="I39" i="43" s="1"/>
  <c r="D46" i="27"/>
  <c r="E46" i="27"/>
  <c r="D42" i="45"/>
  <c r="H41" i="45"/>
  <c r="G41" i="45"/>
  <c r="D41" i="41"/>
  <c r="E41" i="41"/>
  <c r="D45" i="31"/>
  <c r="E45" i="31"/>
  <c r="D47" i="24"/>
  <c r="D44" i="30"/>
  <c r="E44" i="30"/>
  <c r="D42" i="39"/>
  <c r="E42" i="39" s="1"/>
  <c r="D45" i="28"/>
  <c r="F52" i="9"/>
  <c r="H52" i="9" s="1"/>
  <c r="B52" i="9"/>
  <c r="D50" i="5"/>
  <c r="E50" i="5"/>
  <c r="D54" i="10"/>
  <c r="D45" i="29"/>
  <c r="E45" i="29"/>
  <c r="D43" i="37"/>
  <c r="E43" i="37" s="1"/>
  <c r="D40" i="43"/>
  <c r="E40" i="43"/>
  <c r="H40" i="41"/>
  <c r="D50" i="3"/>
  <c r="E50" i="3"/>
  <c r="H41" i="39"/>
  <c r="I41" i="39" s="1"/>
  <c r="D48" i="23"/>
  <c r="D53" i="7"/>
  <c r="B41" i="46"/>
  <c r="D52" i="11"/>
  <c r="E52" i="11"/>
  <c r="D51" i="6"/>
  <c r="E51" i="6"/>
  <c r="H42" i="37"/>
  <c r="I42" i="37" s="1"/>
  <c r="D50" i="4"/>
  <c r="D51" i="8"/>
  <c r="D41" i="40"/>
  <c r="E41" i="40"/>
  <c r="G40" i="41"/>
  <c r="D49" i="25"/>
  <c r="E49" i="25"/>
  <c r="D41" i="42"/>
  <c r="E41" i="42" s="1"/>
  <c r="D42" i="38"/>
  <c r="E42" i="38"/>
  <c r="D49" i="22"/>
  <c r="E49" i="22"/>
  <c r="E41" i="46"/>
  <c r="F41" i="46" s="1"/>
  <c r="G123" i="13"/>
  <c r="D124" i="13"/>
  <c r="J122" i="13"/>
  <c r="G41" i="13" l="1"/>
  <c r="H41" i="13"/>
  <c r="D42" i="13"/>
  <c r="E45" i="28"/>
  <c r="F45" i="28" s="1"/>
  <c r="H45" i="28" s="1"/>
  <c r="E47" i="24"/>
  <c r="E48" i="23"/>
  <c r="E54" i="10"/>
  <c r="F54" i="10" s="1"/>
  <c r="G54" i="10" s="1"/>
  <c r="G52" i="9"/>
  <c r="E51" i="8"/>
  <c r="E53" i="7"/>
  <c r="F53" i="7" s="1"/>
  <c r="H53" i="7" s="1"/>
  <c r="E50" i="4"/>
  <c r="F50" i="4" s="1"/>
  <c r="H50" i="4" s="1"/>
  <c r="E42" i="44"/>
  <c r="F42" i="44" s="1"/>
  <c r="B42" i="44"/>
  <c r="I45" i="27"/>
  <c r="F46" i="27"/>
  <c r="H46" i="27" s="1"/>
  <c r="B46" i="27"/>
  <c r="I50" i="8"/>
  <c r="I49" i="4"/>
  <c r="I50" i="6"/>
  <c r="I40" i="41"/>
  <c r="I51" i="11"/>
  <c r="I47" i="23"/>
  <c r="I49" i="3"/>
  <c r="I46" i="24"/>
  <c r="D42" i="46"/>
  <c r="E42" i="46" s="1"/>
  <c r="H41" i="46"/>
  <c r="G41" i="46"/>
  <c r="F41" i="42"/>
  <c r="G41" i="42" s="1"/>
  <c r="B41" i="42"/>
  <c r="B51" i="6"/>
  <c r="F51" i="6"/>
  <c r="H51" i="6" s="1"/>
  <c r="B53" i="7"/>
  <c r="B54" i="10"/>
  <c r="F42" i="39"/>
  <c r="H42" i="39" s="1"/>
  <c r="B42" i="39"/>
  <c r="B50" i="4"/>
  <c r="F50" i="3"/>
  <c r="H50" i="3" s="1"/>
  <c r="B50" i="3"/>
  <c r="I44" i="28"/>
  <c r="B44" i="30"/>
  <c r="F44" i="30"/>
  <c r="H44" i="30" s="1"/>
  <c r="F45" i="31"/>
  <c r="H45" i="31" s="1"/>
  <c r="B45" i="31"/>
  <c r="I41" i="45"/>
  <c r="F49" i="25"/>
  <c r="G49" i="25" s="1"/>
  <c r="B49" i="25"/>
  <c r="F48" i="23"/>
  <c r="H48" i="23" s="1"/>
  <c r="B48" i="23"/>
  <c r="B43" i="37"/>
  <c r="F43" i="37"/>
  <c r="H43" i="37" s="1"/>
  <c r="I48" i="22"/>
  <c r="B42" i="38"/>
  <c r="F42" i="38"/>
  <c r="H42" i="38" s="1"/>
  <c r="I48" i="25"/>
  <c r="F51" i="8"/>
  <c r="G51" i="8" s="1"/>
  <c r="B51" i="8"/>
  <c r="I52" i="7"/>
  <c r="B40" i="43"/>
  <c r="F40" i="43"/>
  <c r="G40" i="43" s="1"/>
  <c r="B45" i="29"/>
  <c r="F45" i="29"/>
  <c r="H45" i="29" s="1"/>
  <c r="I53" i="10"/>
  <c r="D53" i="9"/>
  <c r="B45" i="28"/>
  <c r="I43" i="30"/>
  <c r="B42" i="45"/>
  <c r="F49" i="22"/>
  <c r="H49" i="22" s="1"/>
  <c r="B49" i="22"/>
  <c r="B41" i="40"/>
  <c r="F41" i="40"/>
  <c r="G41" i="40" s="1"/>
  <c r="B52" i="11"/>
  <c r="F52" i="11"/>
  <c r="H52" i="11" s="1"/>
  <c r="I44" i="29"/>
  <c r="B50" i="5"/>
  <c r="F50" i="5"/>
  <c r="H50" i="5" s="1"/>
  <c r="F47" i="24"/>
  <c r="H47" i="24" s="1"/>
  <c r="B47" i="24"/>
  <c r="I44" i="31"/>
  <c r="F41" i="41"/>
  <c r="H41" i="41" s="1"/>
  <c r="B41" i="41"/>
  <c r="E42" i="45"/>
  <c r="F42" i="45" s="1"/>
  <c r="H123" i="13"/>
  <c r="I123" i="13"/>
  <c r="B124" i="13"/>
  <c r="E124" i="13"/>
  <c r="F124" i="13" s="1"/>
  <c r="G53" i="7" l="1"/>
  <c r="I41" i="13"/>
  <c r="B42" i="13"/>
  <c r="E42" i="13"/>
  <c r="F42" i="13" s="1"/>
  <c r="G45" i="31"/>
  <c r="G44" i="30"/>
  <c r="G45" i="29"/>
  <c r="G45" i="28"/>
  <c r="G46" i="27"/>
  <c r="H49" i="25"/>
  <c r="G47" i="24"/>
  <c r="G48" i="23"/>
  <c r="G49" i="22"/>
  <c r="G52" i="11"/>
  <c r="H54" i="10"/>
  <c r="E53" i="9"/>
  <c r="F53" i="9" s="1"/>
  <c r="H53" i="9" s="1"/>
  <c r="H51" i="8"/>
  <c r="G51" i="6"/>
  <c r="G50" i="5"/>
  <c r="G50" i="4"/>
  <c r="G50" i="3"/>
  <c r="D43" i="44"/>
  <c r="G42" i="44"/>
  <c r="H42" i="44"/>
  <c r="H41" i="42"/>
  <c r="I41" i="42" s="1"/>
  <c r="G42" i="39"/>
  <c r="I42" i="39" s="1"/>
  <c r="G43" i="37"/>
  <c r="I43" i="37" s="1"/>
  <c r="G41" i="41"/>
  <c r="I41" i="41" s="1"/>
  <c r="G42" i="38"/>
  <c r="I42" i="38" s="1"/>
  <c r="D47" i="27"/>
  <c r="D43" i="45"/>
  <c r="E43" i="45" s="1"/>
  <c r="H42" i="45"/>
  <c r="G42" i="45"/>
  <c r="D42" i="40"/>
  <c r="E42" i="40"/>
  <c r="D50" i="22"/>
  <c r="E50" i="22"/>
  <c r="D46" i="28"/>
  <c r="E46" i="28"/>
  <c r="D49" i="23"/>
  <c r="I41" i="46"/>
  <c r="D51" i="4"/>
  <c r="D48" i="24"/>
  <c r="D53" i="11"/>
  <c r="B53" i="9"/>
  <c r="D41" i="43"/>
  <c r="E41" i="43" s="1"/>
  <c r="D43" i="38"/>
  <c r="E43" i="38"/>
  <c r="D44" i="37"/>
  <c r="E44" i="37" s="1"/>
  <c r="D46" i="31"/>
  <c r="E46" i="31"/>
  <c r="D52" i="6"/>
  <c r="D54" i="7"/>
  <c r="D42" i="41"/>
  <c r="E42" i="41"/>
  <c r="D51" i="5"/>
  <c r="E51" i="5"/>
  <c r="H41" i="40"/>
  <c r="I41" i="40" s="1"/>
  <c r="I52" i="9"/>
  <c r="D46" i="29"/>
  <c r="H40" i="43"/>
  <c r="I40" i="43" s="1"/>
  <c r="D52" i="8"/>
  <c r="D50" i="25"/>
  <c r="E50" i="25"/>
  <c r="D45" i="30"/>
  <c r="E45" i="30"/>
  <c r="D51" i="3"/>
  <c r="E51" i="3"/>
  <c r="D43" i="39"/>
  <c r="E43" i="39" s="1"/>
  <c r="D55" i="10"/>
  <c r="D42" i="42"/>
  <c r="E42" i="42"/>
  <c r="B42" i="46"/>
  <c r="F42" i="46"/>
  <c r="G42" i="46" s="1"/>
  <c r="J123" i="13"/>
  <c r="G124" i="13"/>
  <c r="D125" i="13"/>
  <c r="E125" i="13" s="1"/>
  <c r="G42" i="13" l="1"/>
  <c r="D43" i="13"/>
  <c r="H42" i="13"/>
  <c r="E46" i="29"/>
  <c r="F46" i="29" s="1"/>
  <c r="H46" i="29" s="1"/>
  <c r="E48" i="24"/>
  <c r="E49" i="23"/>
  <c r="E53" i="11"/>
  <c r="F53" i="11" s="1"/>
  <c r="H53" i="11" s="1"/>
  <c r="E55" i="10"/>
  <c r="F55" i="10" s="1"/>
  <c r="H55" i="10" s="1"/>
  <c r="G53" i="9"/>
  <c r="E52" i="8"/>
  <c r="E54" i="7"/>
  <c r="F54" i="7" s="1"/>
  <c r="H54" i="7" s="1"/>
  <c r="E52" i="6"/>
  <c r="F52" i="6" s="1"/>
  <c r="H52" i="6" s="1"/>
  <c r="E51" i="4"/>
  <c r="I42" i="44"/>
  <c r="E43" i="44"/>
  <c r="F43" i="44" s="1"/>
  <c r="B43" i="44"/>
  <c r="I45" i="28"/>
  <c r="I49" i="22"/>
  <c r="I53" i="7"/>
  <c r="I45" i="29"/>
  <c r="I45" i="31"/>
  <c r="I48" i="23"/>
  <c r="I46" i="27"/>
  <c r="H42" i="46"/>
  <c r="I42" i="46" s="1"/>
  <c r="B47" i="27"/>
  <c r="E47" i="27"/>
  <c r="F47" i="27" s="1"/>
  <c r="H47" i="27" s="1"/>
  <c r="I44" i="30"/>
  <c r="I49" i="25"/>
  <c r="I51" i="8"/>
  <c r="B43" i="39"/>
  <c r="F43" i="39"/>
  <c r="G43" i="39" s="1"/>
  <c r="F52" i="8"/>
  <c r="H52" i="8" s="1"/>
  <c r="B52" i="8"/>
  <c r="B46" i="29"/>
  <c r="B43" i="38"/>
  <c r="F43" i="38"/>
  <c r="B48" i="24"/>
  <c r="F48" i="24"/>
  <c r="H48" i="24" s="1"/>
  <c r="I50" i="4"/>
  <c r="I42" i="45"/>
  <c r="B46" i="31"/>
  <c r="F46" i="31"/>
  <c r="H46" i="31" s="1"/>
  <c r="D54" i="9"/>
  <c r="D43" i="46"/>
  <c r="E43" i="46" s="1"/>
  <c r="B55" i="10"/>
  <c r="B54" i="7"/>
  <c r="B52" i="6"/>
  <c r="B44" i="37"/>
  <c r="F44" i="37"/>
  <c r="H44" i="37" s="1"/>
  <c r="F49" i="23"/>
  <c r="H49" i="23" s="1"/>
  <c r="B49" i="23"/>
  <c r="B46" i="28"/>
  <c r="F46" i="28"/>
  <c r="G46" i="28" s="1"/>
  <c r="F42" i="40"/>
  <c r="G42" i="40" s="1"/>
  <c r="B42" i="40"/>
  <c r="F51" i="3"/>
  <c r="H51" i="3" s="1"/>
  <c r="B51" i="3"/>
  <c r="B51" i="5"/>
  <c r="F51" i="5"/>
  <c r="H51" i="5" s="1"/>
  <c r="B53" i="11"/>
  <c r="F50" i="22"/>
  <c r="H50" i="22" s="1"/>
  <c r="B50" i="22"/>
  <c r="B42" i="42"/>
  <c r="F42" i="42"/>
  <c r="G42" i="42" s="1"/>
  <c r="I54" i="10"/>
  <c r="I50" i="3"/>
  <c r="B45" i="30"/>
  <c r="F45" i="30"/>
  <c r="H45" i="30" s="1"/>
  <c r="F50" i="25"/>
  <c r="H50" i="25" s="1"/>
  <c r="B50" i="25"/>
  <c r="B42" i="41"/>
  <c r="F42" i="41"/>
  <c r="I51" i="6"/>
  <c r="B41" i="43"/>
  <c r="F41" i="43"/>
  <c r="H41" i="43" s="1"/>
  <c r="I52" i="11"/>
  <c r="I47" i="24"/>
  <c r="B51" i="4"/>
  <c r="F51" i="4"/>
  <c r="H51" i="4" s="1"/>
  <c r="B43" i="45"/>
  <c r="F43" i="45"/>
  <c r="H43" i="45" s="1"/>
  <c r="B125" i="13"/>
  <c r="F125" i="13"/>
  <c r="I124" i="13"/>
  <c r="H124" i="13"/>
  <c r="I42" i="13" l="1"/>
  <c r="G52" i="8"/>
  <c r="B43" i="13"/>
  <c r="E43" i="13"/>
  <c r="F43" i="13" s="1"/>
  <c r="G46" i="31"/>
  <c r="G45" i="30"/>
  <c r="G46" i="29"/>
  <c r="H46" i="28"/>
  <c r="G47" i="27"/>
  <c r="G50" i="25"/>
  <c r="G48" i="24"/>
  <c r="G49" i="23"/>
  <c r="G50" i="22"/>
  <c r="G53" i="11"/>
  <c r="G55" i="10"/>
  <c r="E54" i="9"/>
  <c r="F54" i="9" s="1"/>
  <c r="H54" i="9" s="1"/>
  <c r="G54" i="7"/>
  <c r="G52" i="6"/>
  <c r="G51" i="5"/>
  <c r="G51" i="4"/>
  <c r="G51" i="3"/>
  <c r="G43" i="44"/>
  <c r="D44" i="44"/>
  <c r="H43" i="44"/>
  <c r="G41" i="43"/>
  <c r="I41" i="43" s="1"/>
  <c r="D48" i="27"/>
  <c r="G43" i="45"/>
  <c r="I43" i="45" s="1"/>
  <c r="D43" i="41"/>
  <c r="E43" i="41"/>
  <c r="D55" i="7"/>
  <c r="E55" i="7"/>
  <c r="D44" i="38"/>
  <c r="E44" i="38" s="1"/>
  <c r="H42" i="41"/>
  <c r="D46" i="30"/>
  <c r="E46" i="30"/>
  <c r="H42" i="42"/>
  <c r="I42" i="42" s="1"/>
  <c r="D54" i="11"/>
  <c r="E54" i="11"/>
  <c r="D52" i="3"/>
  <c r="E52" i="3"/>
  <c r="D43" i="40"/>
  <c r="E43" i="40"/>
  <c r="D50" i="23"/>
  <c r="G44" i="37"/>
  <c r="I44" i="37" s="1"/>
  <c r="I53" i="9"/>
  <c r="G43" i="38"/>
  <c r="D44" i="39"/>
  <c r="E44" i="39"/>
  <c r="D51" i="25"/>
  <c r="E51" i="25"/>
  <c r="F43" i="46"/>
  <c r="H43" i="46" s="1"/>
  <c r="B43" i="46"/>
  <c r="D47" i="29"/>
  <c r="D44" i="45"/>
  <c r="D52" i="4"/>
  <c r="D42" i="43"/>
  <c r="E42" i="43"/>
  <c r="D52" i="5"/>
  <c r="E52" i="5"/>
  <c r="H42" i="40"/>
  <c r="I42" i="40" s="1"/>
  <c r="D47" i="28"/>
  <c r="E47" i="28"/>
  <c r="D56" i="10"/>
  <c r="D47" i="31"/>
  <c r="E47" i="31"/>
  <c r="D49" i="24"/>
  <c r="E49" i="24"/>
  <c r="H43" i="39"/>
  <c r="I43" i="39" s="1"/>
  <c r="G42" i="41"/>
  <c r="D43" i="42"/>
  <c r="E43" i="42"/>
  <c r="D51" i="22"/>
  <c r="E51" i="22"/>
  <c r="D45" i="37"/>
  <c r="E45" i="37" s="1"/>
  <c r="D53" i="6"/>
  <c r="B54" i="9"/>
  <c r="H43" i="38"/>
  <c r="D53" i="8"/>
  <c r="E53" i="8"/>
  <c r="D126" i="13"/>
  <c r="G125" i="13"/>
  <c r="J124" i="13"/>
  <c r="G43" i="13" l="1"/>
  <c r="H43" i="13"/>
  <c r="D44" i="13"/>
  <c r="E47" i="29"/>
  <c r="F47" i="29" s="1"/>
  <c r="G47" i="29" s="1"/>
  <c r="E50" i="23"/>
  <c r="E56" i="10"/>
  <c r="G54" i="9"/>
  <c r="E53" i="6"/>
  <c r="F53" i="6" s="1"/>
  <c r="H53" i="6" s="1"/>
  <c r="E52" i="4"/>
  <c r="I43" i="44"/>
  <c r="B44" i="44"/>
  <c r="E44" i="44"/>
  <c r="F44" i="44" s="1"/>
  <c r="H44" i="44" s="1"/>
  <c r="I43" i="38"/>
  <c r="I49" i="23"/>
  <c r="I51" i="4"/>
  <c r="I54" i="7"/>
  <c r="I48" i="24"/>
  <c r="B48" i="27"/>
  <c r="I47" i="27"/>
  <c r="I52" i="6"/>
  <c r="I46" i="31"/>
  <c r="I46" i="29"/>
  <c r="E48" i="27"/>
  <c r="F48" i="27" s="1"/>
  <c r="G48" i="27" s="1"/>
  <c r="B53" i="6"/>
  <c r="F52" i="5"/>
  <c r="H52" i="5" s="1"/>
  <c r="B52" i="5"/>
  <c r="I52" i="8"/>
  <c r="B43" i="42"/>
  <c r="F43" i="42"/>
  <c r="G43" i="42" s="1"/>
  <c r="F56" i="10"/>
  <c r="G56" i="10" s="1"/>
  <c r="B56" i="10"/>
  <c r="F52" i="4"/>
  <c r="H52" i="4" s="1"/>
  <c r="B52" i="4"/>
  <c r="I42" i="41"/>
  <c r="D55" i="9"/>
  <c r="E55" i="9"/>
  <c r="F44" i="38"/>
  <c r="G44" i="38" s="1"/>
  <c r="B44" i="38"/>
  <c r="B53" i="8"/>
  <c r="F53" i="8"/>
  <c r="H53" i="8" s="1"/>
  <c r="F51" i="22"/>
  <c r="H51" i="22" s="1"/>
  <c r="B51" i="22"/>
  <c r="F47" i="31"/>
  <c r="G47" i="31" s="1"/>
  <c r="B47" i="31"/>
  <c r="I55" i="10"/>
  <c r="F47" i="28"/>
  <c r="H47" i="28" s="1"/>
  <c r="B47" i="28"/>
  <c r="B44" i="45"/>
  <c r="D44" i="46"/>
  <c r="E44" i="46" s="1"/>
  <c r="F51" i="25"/>
  <c r="G51" i="25" s="1"/>
  <c r="B51" i="25"/>
  <c r="B44" i="39"/>
  <c r="F44" i="39"/>
  <c r="G44" i="39" s="1"/>
  <c r="F52" i="3"/>
  <c r="H52" i="3" s="1"/>
  <c r="B52" i="3"/>
  <c r="B54" i="11"/>
  <c r="F54" i="11"/>
  <c r="H54" i="11" s="1"/>
  <c r="F46" i="30"/>
  <c r="H46" i="30" s="1"/>
  <c r="B46" i="30"/>
  <c r="F43" i="41"/>
  <c r="G43" i="41" s="1"/>
  <c r="B43" i="41"/>
  <c r="F49" i="24"/>
  <c r="G49" i="24" s="1"/>
  <c r="B49" i="24"/>
  <c r="F50" i="23"/>
  <c r="H50" i="23" s="1"/>
  <c r="B50" i="23"/>
  <c r="B45" i="37"/>
  <c r="F45" i="37"/>
  <c r="H45" i="37" s="1"/>
  <c r="I50" i="22"/>
  <c r="I46" i="28"/>
  <c r="B42" i="43"/>
  <c r="F42" i="43"/>
  <c r="G42" i="43" s="1"/>
  <c r="E44" i="45"/>
  <c r="F44" i="45" s="1"/>
  <c r="B47" i="29"/>
  <c r="G43" i="46"/>
  <c r="I43" i="46" s="1"/>
  <c r="I50" i="25"/>
  <c r="F43" i="40"/>
  <c r="G43" i="40" s="1"/>
  <c r="B43" i="40"/>
  <c r="I51" i="3"/>
  <c r="I53" i="11"/>
  <c r="I45" i="30"/>
  <c r="B55" i="7"/>
  <c r="F55" i="7"/>
  <c r="H55" i="7" s="1"/>
  <c r="I125" i="13"/>
  <c r="H125" i="13"/>
  <c r="B126" i="13"/>
  <c r="E126" i="13"/>
  <c r="F126" i="13" s="1"/>
  <c r="I43" i="13" l="1"/>
  <c r="B44" i="13"/>
  <c r="E44" i="13"/>
  <c r="F44" i="13" s="1"/>
  <c r="H47" i="31"/>
  <c r="G46" i="30"/>
  <c r="H47" i="29"/>
  <c r="G47" i="28"/>
  <c r="H48" i="27"/>
  <c r="H51" i="25"/>
  <c r="H49" i="24"/>
  <c r="G50" i="23"/>
  <c r="G51" i="22"/>
  <c r="G54" i="11"/>
  <c r="H56" i="10"/>
  <c r="G53" i="8"/>
  <c r="G55" i="7"/>
  <c r="G53" i="6"/>
  <c r="G52" i="5"/>
  <c r="G52" i="4"/>
  <c r="G52" i="3"/>
  <c r="G44" i="44"/>
  <c r="I44" i="44" s="1"/>
  <c r="D45" i="44"/>
  <c r="I54" i="9"/>
  <c r="H43" i="41"/>
  <c r="I43" i="41" s="1"/>
  <c r="H43" i="42"/>
  <c r="I43" i="42" s="1"/>
  <c r="D49" i="27"/>
  <c r="E49" i="27"/>
  <c r="H44" i="38"/>
  <c r="I44" i="38" s="1"/>
  <c r="H44" i="39"/>
  <c r="I44" i="39" s="1"/>
  <c r="D45" i="45"/>
  <c r="E45" i="45" s="1"/>
  <c r="H44" i="45"/>
  <c r="G44" i="45"/>
  <c r="D52" i="22"/>
  <c r="D44" i="40"/>
  <c r="E44" i="40"/>
  <c r="D43" i="43"/>
  <c r="E43" i="43" s="1"/>
  <c r="D46" i="37"/>
  <c r="E46" i="37"/>
  <c r="D51" i="23"/>
  <c r="E51" i="23"/>
  <c r="D47" i="30"/>
  <c r="D53" i="3"/>
  <c r="E53" i="3"/>
  <c r="B44" i="46"/>
  <c r="F44" i="46"/>
  <c r="G44" i="46" s="1"/>
  <c r="D54" i="8"/>
  <c r="E54" i="8"/>
  <c r="D45" i="38"/>
  <c r="E45" i="38" s="1"/>
  <c r="D57" i="10"/>
  <c r="D54" i="6"/>
  <c r="D55" i="11"/>
  <c r="E55" i="11"/>
  <c r="D45" i="39"/>
  <c r="E45" i="39" s="1"/>
  <c r="D48" i="31"/>
  <c r="D53" i="5"/>
  <c r="D56" i="7"/>
  <c r="E56" i="7"/>
  <c r="H43" i="40"/>
  <c r="I43" i="40" s="1"/>
  <c r="D48" i="29"/>
  <c r="H42" i="43"/>
  <c r="I42" i="43" s="1"/>
  <c r="G45" i="37"/>
  <c r="I45" i="37" s="1"/>
  <c r="D50" i="24"/>
  <c r="D44" i="41"/>
  <c r="E44" i="41"/>
  <c r="D52" i="25"/>
  <c r="E52" i="25"/>
  <c r="D48" i="28"/>
  <c r="E48" i="28"/>
  <c r="F55" i="9"/>
  <c r="H55" i="9" s="1"/>
  <c r="B55" i="9"/>
  <c r="D53" i="4"/>
  <c r="D44" i="42"/>
  <c r="E44" i="42"/>
  <c r="J125" i="13"/>
  <c r="D127" i="13"/>
  <c r="G126" i="13"/>
  <c r="G44" i="13" l="1"/>
  <c r="H44" i="13"/>
  <c r="I44" i="13" s="1"/>
  <c r="D45" i="13"/>
  <c r="E48" i="31"/>
  <c r="F48" i="31" s="1"/>
  <c r="G48" i="31" s="1"/>
  <c r="E47" i="30"/>
  <c r="E48" i="29"/>
  <c r="F48" i="29" s="1"/>
  <c r="H48" i="29" s="1"/>
  <c r="E50" i="24"/>
  <c r="F50" i="24" s="1"/>
  <c r="H50" i="24" s="1"/>
  <c r="E52" i="22"/>
  <c r="F52" i="22" s="1"/>
  <c r="H52" i="22" s="1"/>
  <c r="E57" i="10"/>
  <c r="G55" i="9"/>
  <c r="E54" i="6"/>
  <c r="F54" i="6" s="1"/>
  <c r="H54" i="6" s="1"/>
  <c r="E53" i="5"/>
  <c r="F53" i="5" s="1"/>
  <c r="H53" i="5" s="1"/>
  <c r="E53" i="4"/>
  <c r="E45" i="44"/>
  <c r="F45" i="44" s="1"/>
  <c r="H45" i="44" s="1"/>
  <c r="B45" i="44"/>
  <c r="I50" i="23"/>
  <c r="I51" i="22"/>
  <c r="I48" i="27"/>
  <c r="I47" i="28"/>
  <c r="I51" i="25"/>
  <c r="I52" i="4"/>
  <c r="H44" i="46"/>
  <c r="I44" i="46" s="1"/>
  <c r="F49" i="27"/>
  <c r="H49" i="27" s="1"/>
  <c r="B49" i="27"/>
  <c r="I47" i="29"/>
  <c r="I54" i="11"/>
  <c r="I46" i="30"/>
  <c r="B44" i="41"/>
  <c r="F44" i="41"/>
  <c r="G44" i="41" s="1"/>
  <c r="B45" i="38"/>
  <c r="F45" i="38"/>
  <c r="G45" i="38" s="1"/>
  <c r="D56" i="9"/>
  <c r="B50" i="24"/>
  <c r="B48" i="29"/>
  <c r="B53" i="5"/>
  <c r="I47" i="31"/>
  <c r="B45" i="39"/>
  <c r="F45" i="39"/>
  <c r="H45" i="39" s="1"/>
  <c r="B54" i="6"/>
  <c r="I56" i="10"/>
  <c r="D45" i="46"/>
  <c r="E45" i="46" s="1"/>
  <c r="B52" i="22"/>
  <c r="I44" i="45"/>
  <c r="F48" i="28"/>
  <c r="G48" i="28" s="1"/>
  <c r="B48" i="28"/>
  <c r="B57" i="10"/>
  <c r="F57" i="10"/>
  <c r="H57" i="10" s="1"/>
  <c r="F47" i="30"/>
  <c r="H47" i="30" s="1"/>
  <c r="B47" i="30"/>
  <c r="B43" i="43"/>
  <c r="F43" i="43"/>
  <c r="G43" i="43" s="1"/>
  <c r="B53" i="4"/>
  <c r="F53" i="4"/>
  <c r="G53" i="4" s="1"/>
  <c r="I49" i="24"/>
  <c r="I55" i="7"/>
  <c r="I53" i="6"/>
  <c r="B54" i="8"/>
  <c r="F54" i="8"/>
  <c r="H54" i="8" s="1"/>
  <c r="I52" i="3"/>
  <c r="F51" i="23"/>
  <c r="G51" i="23" s="1"/>
  <c r="B51" i="23"/>
  <c r="B46" i="37"/>
  <c r="F46" i="37"/>
  <c r="G46" i="37" s="1"/>
  <c r="B44" i="40"/>
  <c r="F44" i="40"/>
  <c r="H44" i="40" s="1"/>
  <c r="F52" i="25"/>
  <c r="H52" i="25" s="1"/>
  <c r="B52" i="25"/>
  <c r="F56" i="7"/>
  <c r="H56" i="7" s="1"/>
  <c r="B56" i="7"/>
  <c r="F44" i="42"/>
  <c r="H44" i="42" s="1"/>
  <c r="B44" i="42"/>
  <c r="B48" i="31"/>
  <c r="F55" i="11"/>
  <c r="G55" i="11" s="1"/>
  <c r="B55" i="11"/>
  <c r="I53" i="8"/>
  <c r="F53" i="3"/>
  <c r="H53" i="3" s="1"/>
  <c r="B53" i="3"/>
  <c r="F45" i="45"/>
  <c r="H45" i="45" s="1"/>
  <c r="B45" i="45"/>
  <c r="B127" i="13"/>
  <c r="H126" i="13"/>
  <c r="I126" i="13"/>
  <c r="E127" i="13"/>
  <c r="F127" i="13" s="1"/>
  <c r="E45" i="13" l="1"/>
  <c r="F45" i="13" s="1"/>
  <c r="D46" i="13" s="1"/>
  <c r="E46" i="13" s="1"/>
  <c r="B45" i="13"/>
  <c r="H45" i="13"/>
  <c r="G45" i="13"/>
  <c r="H48" i="31"/>
  <c r="G47" i="30"/>
  <c r="G48" i="29"/>
  <c r="H48" i="28"/>
  <c r="G49" i="27"/>
  <c r="G52" i="25"/>
  <c r="G50" i="24"/>
  <c r="H51" i="23"/>
  <c r="G52" i="22"/>
  <c r="H55" i="11"/>
  <c r="G57" i="10"/>
  <c r="E56" i="9"/>
  <c r="F56" i="9" s="1"/>
  <c r="H56" i="9" s="1"/>
  <c r="G54" i="8"/>
  <c r="G56" i="7"/>
  <c r="G54" i="6"/>
  <c r="G53" i="5"/>
  <c r="H53" i="4"/>
  <c r="G53" i="3"/>
  <c r="G45" i="39"/>
  <c r="I45" i="39" s="1"/>
  <c r="G44" i="42"/>
  <c r="I44" i="42" s="1"/>
  <c r="G45" i="44"/>
  <c r="I45" i="44" s="1"/>
  <c r="D46" i="44"/>
  <c r="H46" i="37"/>
  <c r="G45" i="45"/>
  <c r="I45" i="45" s="1"/>
  <c r="H43" i="43"/>
  <c r="I43" i="43" s="1"/>
  <c r="D50" i="27"/>
  <c r="I55" i="9"/>
  <c r="D48" i="30"/>
  <c r="D49" i="28"/>
  <c r="D55" i="6"/>
  <c r="D56" i="11"/>
  <c r="D57" i="7"/>
  <c r="D45" i="40"/>
  <c r="E45" i="40"/>
  <c r="I46" i="37"/>
  <c r="D52" i="23"/>
  <c r="D54" i="4"/>
  <c r="D58" i="10"/>
  <c r="D46" i="38"/>
  <c r="E46" i="38"/>
  <c r="D45" i="41"/>
  <c r="E45" i="41"/>
  <c r="D55" i="8"/>
  <c r="E55" i="8"/>
  <c r="B56" i="9"/>
  <c r="D54" i="3"/>
  <c r="E54" i="3"/>
  <c r="D45" i="42"/>
  <c r="E45" i="42" s="1"/>
  <c r="G44" i="40"/>
  <c r="I44" i="40" s="1"/>
  <c r="D47" i="37"/>
  <c r="E47" i="37" s="1"/>
  <c r="D46" i="39"/>
  <c r="E46" i="39"/>
  <c r="D54" i="5"/>
  <c r="D51" i="24"/>
  <c r="H44" i="41"/>
  <c r="I44" i="41" s="1"/>
  <c r="B45" i="46"/>
  <c r="F45" i="46"/>
  <c r="D49" i="29"/>
  <c r="D46" i="45"/>
  <c r="D49" i="31"/>
  <c r="D53" i="25"/>
  <c r="D44" i="43"/>
  <c r="E44" i="43" s="1"/>
  <c r="D53" i="22"/>
  <c r="H45" i="38"/>
  <c r="I45" i="38" s="1"/>
  <c r="F46" i="13"/>
  <c r="G46" i="13" s="1"/>
  <c r="B46" i="13"/>
  <c r="J126" i="13"/>
  <c r="G127" i="13"/>
  <c r="D128" i="13"/>
  <c r="E128" i="13" s="1"/>
  <c r="H46" i="13" l="1"/>
  <c r="I45" i="13"/>
  <c r="E49" i="31"/>
  <c r="E48" i="30"/>
  <c r="F48" i="30" s="1"/>
  <c r="H48" i="30" s="1"/>
  <c r="E49" i="29"/>
  <c r="F49" i="29" s="1"/>
  <c r="H49" i="29" s="1"/>
  <c r="E49" i="28"/>
  <c r="E53" i="25"/>
  <c r="E51" i="24"/>
  <c r="F51" i="24" s="1"/>
  <c r="H51" i="24" s="1"/>
  <c r="E52" i="23"/>
  <c r="F52" i="23" s="1"/>
  <c r="H52" i="23" s="1"/>
  <c r="E53" i="22"/>
  <c r="E56" i="11"/>
  <c r="E58" i="10"/>
  <c r="F58" i="10" s="1"/>
  <c r="H58" i="10" s="1"/>
  <c r="G56" i="9"/>
  <c r="E57" i="7"/>
  <c r="F57" i="7" s="1"/>
  <c r="H57" i="7" s="1"/>
  <c r="E55" i="6"/>
  <c r="E54" i="5"/>
  <c r="F54" i="5" s="1"/>
  <c r="H54" i="5" s="1"/>
  <c r="E54" i="4"/>
  <c r="F54" i="4" s="1"/>
  <c r="H54" i="4" s="1"/>
  <c r="E46" i="44"/>
  <c r="F46" i="44" s="1"/>
  <c r="B46" i="44"/>
  <c r="I47" i="30"/>
  <c r="I48" i="31"/>
  <c r="I52" i="25"/>
  <c r="I46" i="13"/>
  <c r="I51" i="23"/>
  <c r="B50" i="27"/>
  <c r="I53" i="3"/>
  <c r="I49" i="27"/>
  <c r="I50" i="24"/>
  <c r="I54" i="8"/>
  <c r="E50" i="27"/>
  <c r="F50" i="27" s="1"/>
  <c r="G50" i="27" s="1"/>
  <c r="F49" i="31"/>
  <c r="H49" i="31" s="1"/>
  <c r="B49" i="31"/>
  <c r="D46" i="46"/>
  <c r="D57" i="9"/>
  <c r="F55" i="8"/>
  <c r="G55" i="8" s="1"/>
  <c r="B55" i="8"/>
  <c r="F45" i="41"/>
  <c r="B45" i="41"/>
  <c r="B54" i="4"/>
  <c r="F45" i="40"/>
  <c r="G45" i="40" s="1"/>
  <c r="B45" i="40"/>
  <c r="B57" i="7"/>
  <c r="B49" i="29"/>
  <c r="I52" i="22"/>
  <c r="B46" i="45"/>
  <c r="G45" i="46"/>
  <c r="F46" i="39"/>
  <c r="B46" i="39"/>
  <c r="B54" i="3"/>
  <c r="F54" i="3"/>
  <c r="H54" i="3" s="1"/>
  <c r="I57" i="10"/>
  <c r="F56" i="11"/>
  <c r="H56" i="11" s="1"/>
  <c r="B56" i="11"/>
  <c r="B55" i="6"/>
  <c r="F55" i="6"/>
  <c r="H55" i="6" s="1"/>
  <c r="B49" i="28"/>
  <c r="F49" i="28"/>
  <c r="H49" i="28" s="1"/>
  <c r="D47" i="13"/>
  <c r="E47" i="13" s="1"/>
  <c r="E46" i="45"/>
  <c r="F46" i="45" s="1"/>
  <c r="I48" i="29"/>
  <c r="B51" i="24"/>
  <c r="B47" i="37"/>
  <c r="F47" i="37"/>
  <c r="H47" i="37" s="1"/>
  <c r="F45" i="42"/>
  <c r="G45" i="42" s="1"/>
  <c r="B45" i="42"/>
  <c r="F46" i="38"/>
  <c r="H46" i="38" s="1"/>
  <c r="B46" i="38"/>
  <c r="I53" i="4"/>
  <c r="I56" i="7"/>
  <c r="B53" i="22"/>
  <c r="F53" i="22"/>
  <c r="H53" i="22" s="1"/>
  <c r="F44" i="43"/>
  <c r="B44" i="43"/>
  <c r="B53" i="25"/>
  <c r="F53" i="25"/>
  <c r="G53" i="25" s="1"/>
  <c r="H45" i="46"/>
  <c r="B54" i="5"/>
  <c r="B58" i="10"/>
  <c r="B52" i="23"/>
  <c r="I55" i="11"/>
  <c r="I54" i="6"/>
  <c r="I48" i="28"/>
  <c r="B48" i="30"/>
  <c r="F128" i="13"/>
  <c r="B128" i="13"/>
  <c r="H127" i="13"/>
  <c r="I127" i="13"/>
  <c r="G51" i="24" l="1"/>
  <c r="G54" i="4"/>
  <c r="G49" i="31"/>
  <c r="G48" i="30"/>
  <c r="G49" i="29"/>
  <c r="G49" i="28"/>
  <c r="H50" i="27"/>
  <c r="H53" i="25"/>
  <c r="G52" i="23"/>
  <c r="G53" i="22"/>
  <c r="G56" i="11"/>
  <c r="G58" i="10"/>
  <c r="E57" i="9"/>
  <c r="H55" i="8"/>
  <c r="G57" i="7"/>
  <c r="G55" i="6"/>
  <c r="G54" i="5"/>
  <c r="G54" i="3"/>
  <c r="H46" i="44"/>
  <c r="D47" i="44"/>
  <c r="G46" i="44"/>
  <c r="G47" i="37"/>
  <c r="I47" i="37" s="1"/>
  <c r="I45" i="46"/>
  <c r="D51" i="27"/>
  <c r="D47" i="45"/>
  <c r="E47" i="45" s="1"/>
  <c r="H46" i="45"/>
  <c r="G46" i="45"/>
  <c r="D49" i="30"/>
  <c r="E49" i="30"/>
  <c r="D54" i="25"/>
  <c r="E54" i="25"/>
  <c r="D45" i="43"/>
  <c r="E45" i="43"/>
  <c r="D50" i="28"/>
  <c r="D55" i="3"/>
  <c r="D47" i="39"/>
  <c r="E47" i="39"/>
  <c r="D50" i="29"/>
  <c r="E50" i="29"/>
  <c r="D46" i="41"/>
  <c r="E46" i="41"/>
  <c r="B46" i="46"/>
  <c r="D53" i="23"/>
  <c r="E53" i="23"/>
  <c r="H44" i="43"/>
  <c r="D47" i="38"/>
  <c r="E47" i="38"/>
  <c r="D46" i="42"/>
  <c r="E46" i="42"/>
  <c r="D57" i="11"/>
  <c r="E57" i="11"/>
  <c r="H46" i="39"/>
  <c r="D55" i="4"/>
  <c r="G45" i="41"/>
  <c r="E46" i="46"/>
  <c r="F46" i="46" s="1"/>
  <c r="D55" i="5"/>
  <c r="G44" i="43"/>
  <c r="D54" i="22"/>
  <c r="E54" i="22"/>
  <c r="H45" i="42"/>
  <c r="I45" i="42" s="1"/>
  <c r="D52" i="24"/>
  <c r="D56" i="6"/>
  <c r="G46" i="39"/>
  <c r="D58" i="7"/>
  <c r="D46" i="40"/>
  <c r="E46" i="40"/>
  <c r="H45" i="41"/>
  <c r="I56" i="9"/>
  <c r="D59" i="10"/>
  <c r="G46" i="38"/>
  <c r="I46" i="38" s="1"/>
  <c r="D48" i="37"/>
  <c r="E48" i="37" s="1"/>
  <c r="B47" i="13"/>
  <c r="F47" i="13"/>
  <c r="G47" i="13" s="1"/>
  <c r="H45" i="40"/>
  <c r="I45" i="40" s="1"/>
  <c r="D56" i="8"/>
  <c r="E56" i="8"/>
  <c r="F57" i="9"/>
  <c r="H57" i="9" s="1"/>
  <c r="B57" i="9"/>
  <c r="D50" i="31"/>
  <c r="J127" i="13"/>
  <c r="G128" i="13"/>
  <c r="D129" i="13"/>
  <c r="E129" i="13" s="1"/>
  <c r="E50" i="31" l="1"/>
  <c r="E50" i="28"/>
  <c r="E52" i="24"/>
  <c r="E59" i="10"/>
  <c r="F59" i="10" s="1"/>
  <c r="G59" i="10" s="1"/>
  <c r="G57" i="9"/>
  <c r="E58" i="7"/>
  <c r="F58" i="7" s="1"/>
  <c r="H58" i="7" s="1"/>
  <c r="E56" i="6"/>
  <c r="E55" i="5"/>
  <c r="F55" i="5" s="1"/>
  <c r="H55" i="5" s="1"/>
  <c r="E55" i="4"/>
  <c r="E55" i="3"/>
  <c r="I53" i="25"/>
  <c r="I48" i="30"/>
  <c r="E47" i="44"/>
  <c r="F47" i="44" s="1"/>
  <c r="B47" i="44"/>
  <c r="I46" i="44"/>
  <c r="I55" i="8"/>
  <c r="B51" i="27"/>
  <c r="E51" i="27"/>
  <c r="F51" i="27" s="1"/>
  <c r="H51" i="27" s="1"/>
  <c r="I49" i="31"/>
  <c r="I52" i="23"/>
  <c r="I45" i="41"/>
  <c r="I57" i="7"/>
  <c r="I53" i="22"/>
  <c r="I49" i="29"/>
  <c r="I49" i="28"/>
  <c r="I50" i="27"/>
  <c r="D47" i="46"/>
  <c r="E47" i="46" s="1"/>
  <c r="H46" i="46"/>
  <c r="G46" i="46"/>
  <c r="F50" i="31"/>
  <c r="G50" i="31" s="1"/>
  <c r="B50" i="31"/>
  <c r="H47" i="13"/>
  <c r="I47" i="13" s="1"/>
  <c r="I58" i="10"/>
  <c r="F46" i="41"/>
  <c r="G46" i="41" s="1"/>
  <c r="B46" i="41"/>
  <c r="F45" i="43"/>
  <c r="G45" i="43" s="1"/>
  <c r="B45" i="43"/>
  <c r="F54" i="25"/>
  <c r="H54" i="25" s="1"/>
  <c r="B54" i="25"/>
  <c r="F49" i="30"/>
  <c r="H49" i="30" s="1"/>
  <c r="B49" i="30"/>
  <c r="B56" i="8"/>
  <c r="F56" i="8"/>
  <c r="H56" i="8" s="1"/>
  <c r="I46" i="39"/>
  <c r="B57" i="11"/>
  <c r="F57" i="11"/>
  <c r="H57" i="11" s="1"/>
  <c r="B47" i="38"/>
  <c r="F47" i="38"/>
  <c r="B53" i="23"/>
  <c r="F53" i="23"/>
  <c r="H53" i="23" s="1"/>
  <c r="B55" i="3"/>
  <c r="F55" i="3"/>
  <c r="H55" i="3" s="1"/>
  <c r="F47" i="45"/>
  <c r="H47" i="45" s="1"/>
  <c r="B47" i="45"/>
  <c r="B59" i="10"/>
  <c r="B58" i="7"/>
  <c r="F56" i="6"/>
  <c r="H56" i="6" s="1"/>
  <c r="B56" i="6"/>
  <c r="I51" i="24"/>
  <c r="B55" i="5"/>
  <c r="I54" i="4"/>
  <c r="I44" i="43"/>
  <c r="F47" i="39"/>
  <c r="H47" i="39" s="1"/>
  <c r="B47" i="39"/>
  <c r="I54" i="3"/>
  <c r="F50" i="28"/>
  <c r="G50" i="28" s="1"/>
  <c r="B50" i="28"/>
  <c r="D58" i="9"/>
  <c r="D48" i="13"/>
  <c r="E48" i="13" s="1"/>
  <c r="F48" i="37"/>
  <c r="G48" i="37" s="1"/>
  <c r="B48" i="37"/>
  <c r="B46" i="40"/>
  <c r="F46" i="40"/>
  <c r="I55" i="6"/>
  <c r="B52" i="24"/>
  <c r="F52" i="24"/>
  <c r="H52" i="24" s="1"/>
  <c r="B54" i="22"/>
  <c r="F54" i="22"/>
  <c r="H54" i="22" s="1"/>
  <c r="B55" i="4"/>
  <c r="F55" i="4"/>
  <c r="H55" i="4" s="1"/>
  <c r="I56" i="11"/>
  <c r="B46" i="42"/>
  <c r="F46" i="42"/>
  <c r="H46" i="42" s="1"/>
  <c r="F50" i="29"/>
  <c r="H50" i="29" s="1"/>
  <c r="B50" i="29"/>
  <c r="I46" i="45"/>
  <c r="F129" i="13"/>
  <c r="B129" i="13"/>
  <c r="H128" i="13"/>
  <c r="I128" i="13"/>
  <c r="H50" i="31" l="1"/>
  <c r="G49" i="30"/>
  <c r="G50" i="29"/>
  <c r="H50" i="28"/>
  <c r="G51" i="27"/>
  <c r="G54" i="25"/>
  <c r="G52" i="24"/>
  <c r="G53" i="23"/>
  <c r="G54" i="22"/>
  <c r="G57" i="11"/>
  <c r="H59" i="10"/>
  <c r="E58" i="9"/>
  <c r="G56" i="8"/>
  <c r="G58" i="7"/>
  <c r="G56" i="6"/>
  <c r="G55" i="5"/>
  <c r="G55" i="4"/>
  <c r="G55" i="3"/>
  <c r="H47" i="44"/>
  <c r="G47" i="44"/>
  <c r="I47" i="44" s="1"/>
  <c r="D48" i="44"/>
  <c r="D52" i="27"/>
  <c r="E52" i="27"/>
  <c r="H46" i="41"/>
  <c r="I46" i="41" s="1"/>
  <c r="D56" i="4"/>
  <c r="D53" i="24"/>
  <c r="D47" i="40"/>
  <c r="E47" i="40"/>
  <c r="D48" i="38"/>
  <c r="E48" i="38" s="1"/>
  <c r="D47" i="42"/>
  <c r="E47" i="42"/>
  <c r="G46" i="40"/>
  <c r="D48" i="45"/>
  <c r="E48" i="45" s="1"/>
  <c r="D54" i="23"/>
  <c r="H47" i="38"/>
  <c r="D50" i="30"/>
  <c r="I46" i="46"/>
  <c r="D51" i="29"/>
  <c r="E51" i="29"/>
  <c r="D55" i="22"/>
  <c r="E55" i="22"/>
  <c r="D49" i="37"/>
  <c r="E49" i="37"/>
  <c r="F58" i="9"/>
  <c r="H58" i="9" s="1"/>
  <c r="B58" i="9"/>
  <c r="D51" i="28"/>
  <c r="E51" i="28"/>
  <c r="D48" i="39"/>
  <c r="E48" i="39"/>
  <c r="D57" i="6"/>
  <c r="E57" i="6"/>
  <c r="D60" i="10"/>
  <c r="G47" i="45"/>
  <c r="I47" i="45" s="1"/>
  <c r="D57" i="8"/>
  <c r="D46" i="43"/>
  <c r="E46" i="43" s="1"/>
  <c r="G46" i="42"/>
  <c r="I46" i="42" s="1"/>
  <c r="H46" i="40"/>
  <c r="H48" i="37"/>
  <c r="I48" i="37" s="1"/>
  <c r="F48" i="13"/>
  <c r="G48" i="13" s="1"/>
  <c r="B48" i="13"/>
  <c r="I57" i="9"/>
  <c r="G47" i="39"/>
  <c r="I47" i="39" s="1"/>
  <c r="D56" i="5"/>
  <c r="D59" i="7"/>
  <c r="D56" i="3"/>
  <c r="G47" i="38"/>
  <c r="D58" i="11"/>
  <c r="D55" i="25"/>
  <c r="E55" i="25"/>
  <c r="H45" i="43"/>
  <c r="I45" i="43" s="1"/>
  <c r="D47" i="41"/>
  <c r="E47" i="41" s="1"/>
  <c r="D51" i="31"/>
  <c r="F47" i="46"/>
  <c r="H47" i="46" s="1"/>
  <c r="B47" i="46"/>
  <c r="J128" i="13"/>
  <c r="G129" i="13"/>
  <c r="D130" i="13"/>
  <c r="E130" i="13" s="1"/>
  <c r="E51" i="31" l="1"/>
  <c r="E50" i="30"/>
  <c r="E53" i="24"/>
  <c r="F53" i="24" s="1"/>
  <c r="G53" i="24" s="1"/>
  <c r="E54" i="23"/>
  <c r="F54" i="23" s="1"/>
  <c r="H54" i="23" s="1"/>
  <c r="E58" i="11"/>
  <c r="E60" i="10"/>
  <c r="G58" i="9"/>
  <c r="E57" i="8"/>
  <c r="F57" i="8" s="1"/>
  <c r="H57" i="8" s="1"/>
  <c r="E59" i="7"/>
  <c r="E56" i="5"/>
  <c r="E56" i="4"/>
  <c r="F56" i="4" s="1"/>
  <c r="H56" i="4" s="1"/>
  <c r="E56" i="3"/>
  <c r="F56" i="3" s="1"/>
  <c r="H56" i="3" s="1"/>
  <c r="E48" i="44"/>
  <c r="F48" i="44" s="1"/>
  <c r="B48" i="44"/>
  <c r="I49" i="30"/>
  <c r="I51" i="27"/>
  <c r="H48" i="13"/>
  <c r="I48" i="13" s="1"/>
  <c r="I54" i="22"/>
  <c r="I50" i="29"/>
  <c r="I59" i="10"/>
  <c r="I50" i="31"/>
  <c r="I58" i="7"/>
  <c r="I46" i="40"/>
  <c r="B52" i="27"/>
  <c r="F52" i="27"/>
  <c r="H52" i="27" s="1"/>
  <c r="G47" i="46"/>
  <c r="I47" i="46" s="1"/>
  <c r="I57" i="11"/>
  <c r="I56" i="8"/>
  <c r="F51" i="28"/>
  <c r="H51" i="28" s="1"/>
  <c r="B51" i="28"/>
  <c r="F47" i="42"/>
  <c r="G47" i="42" s="1"/>
  <c r="B47" i="42"/>
  <c r="B53" i="24"/>
  <c r="B56" i="4"/>
  <c r="B47" i="41"/>
  <c r="F47" i="41"/>
  <c r="H47" i="41" s="1"/>
  <c r="B55" i="25"/>
  <c r="F55" i="25"/>
  <c r="G55" i="25" s="1"/>
  <c r="B56" i="3"/>
  <c r="D49" i="13"/>
  <c r="E49" i="13" s="1"/>
  <c r="F57" i="6"/>
  <c r="H57" i="6" s="1"/>
  <c r="B57" i="6"/>
  <c r="B48" i="39"/>
  <c r="F48" i="39"/>
  <c r="H48" i="39" s="1"/>
  <c r="F49" i="37"/>
  <c r="H49" i="37" s="1"/>
  <c r="B49" i="37"/>
  <c r="I53" i="23"/>
  <c r="F48" i="45"/>
  <c r="G48" i="45" s="1"/>
  <c r="B48" i="45"/>
  <c r="I54" i="25"/>
  <c r="F58" i="11"/>
  <c r="H58" i="11" s="1"/>
  <c r="B58" i="11"/>
  <c r="I55" i="3"/>
  <c r="F46" i="43"/>
  <c r="G46" i="43" s="1"/>
  <c r="B46" i="43"/>
  <c r="B57" i="8"/>
  <c r="B50" i="30"/>
  <c r="F50" i="30"/>
  <c r="H50" i="30" s="1"/>
  <c r="F48" i="38"/>
  <c r="H48" i="38" s="1"/>
  <c r="B48" i="38"/>
  <c r="F47" i="40"/>
  <c r="G47" i="40" s="1"/>
  <c r="B47" i="40"/>
  <c r="I52" i="24"/>
  <c r="I55" i="4"/>
  <c r="D48" i="46"/>
  <c r="E48" i="46" s="1"/>
  <c r="B51" i="31"/>
  <c r="F51" i="31"/>
  <c r="H51" i="31" s="1"/>
  <c r="B59" i="7"/>
  <c r="F59" i="7"/>
  <c r="G59" i="7" s="1"/>
  <c r="B56" i="5"/>
  <c r="F56" i="5"/>
  <c r="H56" i="5" s="1"/>
  <c r="B60" i="10"/>
  <c r="F60" i="10"/>
  <c r="H60" i="10" s="1"/>
  <c r="I56" i="6"/>
  <c r="I50" i="28"/>
  <c r="E59" i="9"/>
  <c r="D59" i="9"/>
  <c r="B55" i="22"/>
  <c r="F55" i="22"/>
  <c r="H55" i="22" s="1"/>
  <c r="B51" i="29"/>
  <c r="F51" i="29"/>
  <c r="H51" i="29" s="1"/>
  <c r="I47" i="38"/>
  <c r="B54" i="23"/>
  <c r="B130" i="13"/>
  <c r="F130" i="13"/>
  <c r="H129" i="13"/>
  <c r="I129" i="13"/>
  <c r="G51" i="31" l="1"/>
  <c r="G50" i="30"/>
  <c r="G51" i="29"/>
  <c r="G51" i="28"/>
  <c r="G52" i="27"/>
  <c r="H55" i="25"/>
  <c r="H53" i="24"/>
  <c r="G54" i="23"/>
  <c r="G55" i="22"/>
  <c r="G58" i="11"/>
  <c r="G60" i="10"/>
  <c r="G57" i="8"/>
  <c r="H59" i="7"/>
  <c r="G57" i="6"/>
  <c r="G56" i="5"/>
  <c r="G56" i="4"/>
  <c r="G56" i="3"/>
  <c r="G48" i="44"/>
  <c r="D49" i="44"/>
  <c r="H48" i="44"/>
  <c r="I58" i="9"/>
  <c r="H47" i="40"/>
  <c r="I47" i="40" s="1"/>
  <c r="G48" i="39"/>
  <c r="I48" i="39" s="1"/>
  <c r="G47" i="41"/>
  <c r="I47" i="41" s="1"/>
  <c r="D53" i="27"/>
  <c r="E53" i="27"/>
  <c r="D47" i="43"/>
  <c r="E47" i="43"/>
  <c r="D50" i="37"/>
  <c r="E50" i="37"/>
  <c r="D56" i="25"/>
  <c r="E56" i="25"/>
  <c r="D54" i="24"/>
  <c r="E54" i="24"/>
  <c r="D55" i="23"/>
  <c r="E55" i="23"/>
  <c r="D61" i="10"/>
  <c r="E61" i="10"/>
  <c r="D60" i="7"/>
  <c r="E60" i="7"/>
  <c r="D51" i="30"/>
  <c r="E51" i="30"/>
  <c r="B49" i="13"/>
  <c r="F49" i="13"/>
  <c r="G49" i="13" s="1"/>
  <c r="D48" i="42"/>
  <c r="E48" i="42"/>
  <c r="D56" i="22"/>
  <c r="E56" i="22"/>
  <c r="F48" i="46"/>
  <c r="B48" i="46"/>
  <c r="D49" i="38"/>
  <c r="E49" i="38" s="1"/>
  <c r="D49" i="45"/>
  <c r="D49" i="39"/>
  <c r="E49" i="39"/>
  <c r="D57" i="4"/>
  <c r="E57" i="4"/>
  <c r="D52" i="29"/>
  <c r="E52" i="29"/>
  <c r="F59" i="9"/>
  <c r="H59" i="9" s="1"/>
  <c r="B59" i="9"/>
  <c r="D57" i="5"/>
  <c r="E57" i="5"/>
  <c r="D52" i="31"/>
  <c r="E52" i="31"/>
  <c r="D48" i="40"/>
  <c r="E48" i="40" s="1"/>
  <c r="G48" i="38"/>
  <c r="I48" i="38" s="1"/>
  <c r="D58" i="8"/>
  <c r="H46" i="43"/>
  <c r="I46" i="43" s="1"/>
  <c r="D59" i="11"/>
  <c r="E59" i="11"/>
  <c r="H48" i="45"/>
  <c r="I48" i="45" s="1"/>
  <c r="G49" i="37"/>
  <c r="I49" i="37" s="1"/>
  <c r="D58" i="6"/>
  <c r="D57" i="3"/>
  <c r="D48" i="41"/>
  <c r="E48" i="41"/>
  <c r="H47" i="42"/>
  <c r="I47" i="42" s="1"/>
  <c r="D52" i="28"/>
  <c r="E52" i="28"/>
  <c r="J129" i="13"/>
  <c r="G130" i="13"/>
  <c r="D131" i="13"/>
  <c r="G59" i="9" l="1"/>
  <c r="E58" i="8"/>
  <c r="F58" i="8" s="1"/>
  <c r="H58" i="8" s="1"/>
  <c r="E58" i="6"/>
  <c r="F58" i="6" s="1"/>
  <c r="G58" i="6" s="1"/>
  <c r="E57" i="3"/>
  <c r="F57" i="3" s="1"/>
  <c r="H57" i="3" s="1"/>
  <c r="I48" i="44"/>
  <c r="E49" i="44"/>
  <c r="F49" i="44" s="1"/>
  <c r="B49" i="44"/>
  <c r="I56" i="4"/>
  <c r="I52" i="27"/>
  <c r="I59" i="7"/>
  <c r="F53" i="27"/>
  <c r="H53" i="27" s="1"/>
  <c r="B53" i="27"/>
  <c r="I55" i="22"/>
  <c r="I50" i="30"/>
  <c r="B57" i="3"/>
  <c r="B58" i="8"/>
  <c r="F48" i="40"/>
  <c r="G48" i="40" s="1"/>
  <c r="B48" i="40"/>
  <c r="I51" i="31"/>
  <c r="B51" i="30"/>
  <c r="F51" i="30"/>
  <c r="H51" i="30" s="1"/>
  <c r="F47" i="43"/>
  <c r="B47" i="43"/>
  <c r="B58" i="6"/>
  <c r="B57" i="4"/>
  <c r="F57" i="4"/>
  <c r="G57" i="4" s="1"/>
  <c r="F49" i="39"/>
  <c r="B49" i="39"/>
  <c r="B49" i="38"/>
  <c r="F49" i="38"/>
  <c r="H49" i="38" s="1"/>
  <c r="D49" i="46"/>
  <c r="B56" i="22"/>
  <c r="F56" i="22"/>
  <c r="H56" i="22" s="1"/>
  <c r="F48" i="42"/>
  <c r="B48" i="42"/>
  <c r="F60" i="7"/>
  <c r="H60" i="7" s="1"/>
  <c r="B60" i="7"/>
  <c r="B61" i="10"/>
  <c r="F61" i="10"/>
  <c r="H61" i="10" s="1"/>
  <c r="B56" i="25"/>
  <c r="F56" i="25"/>
  <c r="H56" i="25" s="1"/>
  <c r="F52" i="28"/>
  <c r="G52" i="28" s="1"/>
  <c r="B52" i="28"/>
  <c r="B48" i="41"/>
  <c r="F48" i="41"/>
  <c r="H48" i="41" s="1"/>
  <c r="I56" i="3"/>
  <c r="I57" i="6"/>
  <c r="B59" i="11"/>
  <c r="F59" i="11"/>
  <c r="G59" i="11" s="1"/>
  <c r="F52" i="29"/>
  <c r="G52" i="29" s="1"/>
  <c r="B52" i="29"/>
  <c r="B49" i="45"/>
  <c r="G48" i="46"/>
  <c r="D50" i="13"/>
  <c r="B55" i="23"/>
  <c r="F55" i="23"/>
  <c r="G55" i="23" s="1"/>
  <c r="F54" i="24"/>
  <c r="H54" i="24" s="1"/>
  <c r="B54" i="24"/>
  <c r="F50" i="37"/>
  <c r="H50" i="37" s="1"/>
  <c r="B50" i="37"/>
  <c r="I51" i="28"/>
  <c r="I58" i="11"/>
  <c r="I57" i="8"/>
  <c r="F52" i="31"/>
  <c r="G52" i="31" s="1"/>
  <c r="B52" i="31"/>
  <c r="F57" i="5"/>
  <c r="H57" i="5" s="1"/>
  <c r="B57" i="5"/>
  <c r="D60" i="9"/>
  <c r="I51" i="29"/>
  <c r="E49" i="45"/>
  <c r="F49" i="45" s="1"/>
  <c r="H48" i="46"/>
  <c r="H49" i="13"/>
  <c r="I49" i="13" s="1"/>
  <c r="I60" i="10"/>
  <c r="I54" i="23"/>
  <c r="I53" i="24"/>
  <c r="I55" i="25"/>
  <c r="H130" i="13"/>
  <c r="I130" i="13"/>
  <c r="B131" i="13"/>
  <c r="E131" i="13"/>
  <c r="F131" i="13" s="1"/>
  <c r="H52" i="31" l="1"/>
  <c r="G51" i="30"/>
  <c r="H52" i="29"/>
  <c r="H52" i="28"/>
  <c r="G53" i="27"/>
  <c r="G56" i="25"/>
  <c r="G54" i="24"/>
  <c r="H55" i="23"/>
  <c r="G56" i="22"/>
  <c r="H59" i="11"/>
  <c r="G61" i="10"/>
  <c r="E60" i="9"/>
  <c r="G58" i="8"/>
  <c r="G60" i="7"/>
  <c r="H58" i="6"/>
  <c r="G57" i="5"/>
  <c r="H57" i="4"/>
  <c r="G57" i="3"/>
  <c r="H49" i="44"/>
  <c r="D50" i="44"/>
  <c r="G49" i="44"/>
  <c r="G49" i="38"/>
  <c r="I49" i="38" s="1"/>
  <c r="H48" i="40"/>
  <c r="I48" i="40" s="1"/>
  <c r="G50" i="37"/>
  <c r="I50" i="37" s="1"/>
  <c r="I59" i="9"/>
  <c r="I48" i="46"/>
  <c r="I53" i="27"/>
  <c r="D54" i="27"/>
  <c r="D50" i="45"/>
  <c r="E50" i="45" s="1"/>
  <c r="H49" i="45"/>
  <c r="G49" i="45"/>
  <c r="F60" i="9"/>
  <c r="H60" i="9" s="1"/>
  <c r="B60" i="9"/>
  <c r="D53" i="31"/>
  <c r="B50" i="13"/>
  <c r="D53" i="29"/>
  <c r="E53" i="29"/>
  <c r="D61" i="7"/>
  <c r="E61" i="7"/>
  <c r="D49" i="42"/>
  <c r="E49" i="42" s="1"/>
  <c r="B49" i="46"/>
  <c r="D50" i="39"/>
  <c r="E50" i="39"/>
  <c r="D48" i="43"/>
  <c r="E48" i="43"/>
  <c r="D55" i="24"/>
  <c r="E55" i="24"/>
  <c r="E50" i="13"/>
  <c r="F50" i="13" s="1"/>
  <c r="D60" i="11"/>
  <c r="D62" i="10"/>
  <c r="E62" i="10" s="1"/>
  <c r="D57" i="22"/>
  <c r="H49" i="39"/>
  <c r="D58" i="4"/>
  <c r="E58" i="4"/>
  <c r="H47" i="43"/>
  <c r="D52" i="30"/>
  <c r="E52" i="30"/>
  <c r="D59" i="8"/>
  <c r="D58" i="5"/>
  <c r="D56" i="23"/>
  <c r="E56" i="23"/>
  <c r="D49" i="41"/>
  <c r="E49" i="41"/>
  <c r="D53" i="28"/>
  <c r="E53" i="28"/>
  <c r="G48" i="42"/>
  <c r="G49" i="39"/>
  <c r="D51" i="37"/>
  <c r="E51" i="37" s="1"/>
  <c r="G48" i="41"/>
  <c r="I48" i="41" s="1"/>
  <c r="D57" i="25"/>
  <c r="H48" i="42"/>
  <c r="E49" i="46"/>
  <c r="F49" i="46" s="1"/>
  <c r="D50" i="38"/>
  <c r="E50" i="38"/>
  <c r="D59" i="6"/>
  <c r="G47" i="43"/>
  <c r="D49" i="40"/>
  <c r="E49" i="40"/>
  <c r="D58" i="3"/>
  <c r="J130" i="13"/>
  <c r="J155" i="13" s="1"/>
  <c r="G131" i="13"/>
  <c r="D132" i="13"/>
  <c r="E53" i="31" l="1"/>
  <c r="E57" i="25"/>
  <c r="F57" i="25" s="1"/>
  <c r="G57" i="25" s="1"/>
  <c r="E57" i="22"/>
  <c r="F57" i="22" s="1"/>
  <c r="H57" i="22" s="1"/>
  <c r="E60" i="11"/>
  <c r="F60" i="11" s="1"/>
  <c r="G60" i="11" s="1"/>
  <c r="G60" i="9"/>
  <c r="E59" i="8"/>
  <c r="E59" i="6"/>
  <c r="E58" i="5"/>
  <c r="F58" i="5" s="1"/>
  <c r="H58" i="5" s="1"/>
  <c r="E58" i="3"/>
  <c r="F58" i="3" s="1"/>
  <c r="H58" i="3" s="1"/>
  <c r="I49" i="44"/>
  <c r="E50" i="44"/>
  <c r="F50" i="44" s="1"/>
  <c r="B50" i="44"/>
  <c r="I57" i="4"/>
  <c r="I48" i="42"/>
  <c r="I61" i="10"/>
  <c r="I52" i="29"/>
  <c r="I57" i="3"/>
  <c r="I56" i="25"/>
  <c r="I58" i="8"/>
  <c r="I55" i="23"/>
  <c r="I60" i="7"/>
  <c r="B54" i="27"/>
  <c r="I49" i="45"/>
  <c r="I51" i="30"/>
  <c r="I56" i="22"/>
  <c r="I59" i="11"/>
  <c r="E54" i="27"/>
  <c r="F54" i="27" s="1"/>
  <c r="G54" i="27" s="1"/>
  <c r="D50" i="46"/>
  <c r="E50" i="46" s="1"/>
  <c r="G49" i="46"/>
  <c r="H49" i="46"/>
  <c r="D51" i="13"/>
  <c r="E51" i="13" s="1"/>
  <c r="H50" i="13"/>
  <c r="G50" i="13"/>
  <c r="B59" i="6"/>
  <c r="F59" i="6"/>
  <c r="H59" i="6" s="1"/>
  <c r="B57" i="25"/>
  <c r="F53" i="28"/>
  <c r="H53" i="28" s="1"/>
  <c r="B53" i="28"/>
  <c r="F56" i="23"/>
  <c r="H56" i="23" s="1"/>
  <c r="B56" i="23"/>
  <c r="B52" i="30"/>
  <c r="F52" i="30"/>
  <c r="H52" i="30" s="1"/>
  <c r="F58" i="4"/>
  <c r="H58" i="4" s="1"/>
  <c r="B58" i="4"/>
  <c r="B55" i="24"/>
  <c r="F55" i="24"/>
  <c r="H55" i="24" s="1"/>
  <c r="B61" i="7"/>
  <c r="F61" i="7"/>
  <c r="H61" i="7" s="1"/>
  <c r="B59" i="8"/>
  <c r="F59" i="8"/>
  <c r="G59" i="8" s="1"/>
  <c r="F48" i="43"/>
  <c r="H48" i="43" s="1"/>
  <c r="B48" i="43"/>
  <c r="F49" i="42"/>
  <c r="B49" i="42"/>
  <c r="B53" i="31"/>
  <c r="F53" i="31"/>
  <c r="H53" i="31" s="1"/>
  <c r="B50" i="38"/>
  <c r="F50" i="38"/>
  <c r="G50" i="38" s="1"/>
  <c r="F51" i="37"/>
  <c r="H51" i="37" s="1"/>
  <c r="B51" i="37"/>
  <c r="I52" i="28"/>
  <c r="F49" i="41"/>
  <c r="G49" i="41" s="1"/>
  <c r="B49" i="41"/>
  <c r="B58" i="5"/>
  <c r="I47" i="43"/>
  <c r="B57" i="22"/>
  <c r="B62" i="10"/>
  <c r="F62" i="10"/>
  <c r="H62" i="10" s="1"/>
  <c r="B58" i="3"/>
  <c r="B49" i="40"/>
  <c r="F49" i="40"/>
  <c r="G49" i="40" s="1"/>
  <c r="I58" i="6"/>
  <c r="I49" i="39"/>
  <c r="B60" i="11"/>
  <c r="I54" i="24"/>
  <c r="F50" i="39"/>
  <c r="H50" i="39" s="1"/>
  <c r="B50" i="39"/>
  <c r="F53" i="29"/>
  <c r="H53" i="29" s="1"/>
  <c r="B53" i="29"/>
  <c r="I52" i="31"/>
  <c r="D61" i="9"/>
  <c r="B50" i="45"/>
  <c r="F50" i="45"/>
  <c r="H50" i="45" s="1"/>
  <c r="B132" i="13"/>
  <c r="I131" i="13"/>
  <c r="H131" i="13"/>
  <c r="E132" i="13"/>
  <c r="F132" i="13" s="1"/>
  <c r="G53" i="31" l="1"/>
  <c r="G52" i="30"/>
  <c r="G53" i="29"/>
  <c r="G53" i="28"/>
  <c r="H54" i="27"/>
  <c r="H57" i="25"/>
  <c r="G55" i="24"/>
  <c r="G56" i="23"/>
  <c r="G57" i="22"/>
  <c r="H60" i="11"/>
  <c r="G62" i="10"/>
  <c r="E61" i="9"/>
  <c r="H59" i="8"/>
  <c r="G61" i="7"/>
  <c r="G59" i="6"/>
  <c r="G58" i="5"/>
  <c r="G58" i="4"/>
  <c r="G58" i="3"/>
  <c r="H50" i="44"/>
  <c r="D51" i="44"/>
  <c r="G50" i="44"/>
  <c r="I49" i="46"/>
  <c r="G51" i="37"/>
  <c r="G50" i="45"/>
  <c r="I50" i="45" s="1"/>
  <c r="D55" i="27"/>
  <c r="H49" i="40"/>
  <c r="I49" i="40" s="1"/>
  <c r="H49" i="41"/>
  <c r="I49" i="41" s="1"/>
  <c r="I51" i="37"/>
  <c r="D54" i="29"/>
  <c r="E54" i="29"/>
  <c r="D51" i="39"/>
  <c r="E51" i="39"/>
  <c r="D63" i="10"/>
  <c r="D54" i="31"/>
  <c r="D50" i="42"/>
  <c r="E50" i="42"/>
  <c r="D62" i="7"/>
  <c r="D58" i="25"/>
  <c r="B61" i="9"/>
  <c r="F61" i="9"/>
  <c r="H61" i="9" s="1"/>
  <c r="D59" i="5"/>
  <c r="D51" i="38"/>
  <c r="E51" i="38" s="1"/>
  <c r="G49" i="42"/>
  <c r="D49" i="43"/>
  <c r="E49" i="43"/>
  <c r="D59" i="4"/>
  <c r="E59" i="4"/>
  <c r="D57" i="23"/>
  <c r="E57" i="23"/>
  <c r="I50" i="13"/>
  <c r="I60" i="9"/>
  <c r="D50" i="40"/>
  <c r="E50" i="40" s="1"/>
  <c r="D50" i="41"/>
  <c r="E50" i="41" s="1"/>
  <c r="H50" i="38"/>
  <c r="I50" i="38" s="1"/>
  <c r="H49" i="42"/>
  <c r="D60" i="8"/>
  <c r="E60" i="8"/>
  <c r="D56" i="24"/>
  <c r="D53" i="30"/>
  <c r="E53" i="30"/>
  <c r="D60" i="6"/>
  <c r="D51" i="45"/>
  <c r="E51" i="45" s="1"/>
  <c r="G50" i="39"/>
  <c r="I50" i="39" s="1"/>
  <c r="D61" i="11"/>
  <c r="E61" i="11"/>
  <c r="D59" i="3"/>
  <c r="E59" i="3"/>
  <c r="D58" i="22"/>
  <c r="D52" i="37"/>
  <c r="E52" i="37" s="1"/>
  <c r="G48" i="43"/>
  <c r="I48" i="43" s="1"/>
  <c r="D54" i="28"/>
  <c r="B51" i="13"/>
  <c r="F51" i="13"/>
  <c r="G51" i="13" s="1"/>
  <c r="F50" i="46"/>
  <c r="B50" i="46"/>
  <c r="D133" i="13"/>
  <c r="E133" i="13" s="1"/>
  <c r="G132" i="13"/>
  <c r="E54" i="31" l="1"/>
  <c r="E54" i="28"/>
  <c r="F54" i="28" s="1"/>
  <c r="G54" i="28" s="1"/>
  <c r="E58" i="25"/>
  <c r="E56" i="24"/>
  <c r="F56" i="24" s="1"/>
  <c r="H56" i="24" s="1"/>
  <c r="E58" i="22"/>
  <c r="E63" i="10"/>
  <c r="G61" i="9"/>
  <c r="E62" i="7"/>
  <c r="F62" i="7" s="1"/>
  <c r="H62" i="7" s="1"/>
  <c r="E60" i="6"/>
  <c r="E59" i="5"/>
  <c r="F59" i="5" s="1"/>
  <c r="H59" i="5" s="1"/>
  <c r="I59" i="6"/>
  <c r="I53" i="29"/>
  <c r="E51" i="44"/>
  <c r="F51" i="44" s="1"/>
  <c r="B51" i="44"/>
  <c r="I54" i="27"/>
  <c r="I50" i="44"/>
  <c r="I52" i="30"/>
  <c r="I49" i="42"/>
  <c r="I58" i="4"/>
  <c r="I55" i="24"/>
  <c r="I59" i="8"/>
  <c r="I57" i="25"/>
  <c r="I61" i="7"/>
  <c r="I58" i="3"/>
  <c r="I60" i="11"/>
  <c r="B55" i="27"/>
  <c r="E55" i="27"/>
  <c r="F55" i="27" s="1"/>
  <c r="H55" i="27" s="1"/>
  <c r="B60" i="8"/>
  <c r="F60" i="8"/>
  <c r="H60" i="8" s="1"/>
  <c r="F50" i="41"/>
  <c r="H50" i="41" s="1"/>
  <c r="B50" i="41"/>
  <c r="B59" i="4"/>
  <c r="F59" i="4"/>
  <c r="H59" i="4" s="1"/>
  <c r="F49" i="43"/>
  <c r="H49" i="43" s="1"/>
  <c r="B49" i="43"/>
  <c r="F58" i="25"/>
  <c r="H58" i="25" s="1"/>
  <c r="B58" i="25"/>
  <c r="B62" i="7"/>
  <c r="B50" i="42"/>
  <c r="F50" i="42"/>
  <c r="H50" i="42" s="1"/>
  <c r="B54" i="29"/>
  <c r="F54" i="29"/>
  <c r="H54" i="29" s="1"/>
  <c r="D51" i="46"/>
  <c r="E51" i="46" s="1"/>
  <c r="D52" i="13"/>
  <c r="B54" i="28"/>
  <c r="F52" i="37"/>
  <c r="G52" i="37" s="1"/>
  <c r="B52" i="37"/>
  <c r="B58" i="22"/>
  <c r="F58" i="22"/>
  <c r="H58" i="22" s="1"/>
  <c r="F60" i="6"/>
  <c r="G60" i="6" s="1"/>
  <c r="B60" i="6"/>
  <c r="B56" i="24"/>
  <c r="D62" i="9"/>
  <c r="H50" i="46"/>
  <c r="I53" i="28"/>
  <c r="I57" i="22"/>
  <c r="F50" i="40"/>
  <c r="H50" i="40" s="1"/>
  <c r="B50" i="40"/>
  <c r="I56" i="23"/>
  <c r="B59" i="5"/>
  <c r="B54" i="31"/>
  <c r="F54" i="31"/>
  <c r="H54" i="31" s="1"/>
  <c r="I62" i="10"/>
  <c r="B51" i="39"/>
  <c r="F51" i="39"/>
  <c r="G50" i="46"/>
  <c r="H51" i="13"/>
  <c r="I51" i="13" s="1"/>
  <c r="F59" i="3"/>
  <c r="H59" i="3" s="1"/>
  <c r="B59" i="3"/>
  <c r="F61" i="11"/>
  <c r="H61" i="11" s="1"/>
  <c r="B61" i="11"/>
  <c r="F51" i="45"/>
  <c r="G51" i="45" s="1"/>
  <c r="B51" i="45"/>
  <c r="F53" i="30"/>
  <c r="H53" i="30" s="1"/>
  <c r="B53" i="30"/>
  <c r="F57" i="23"/>
  <c r="H57" i="23" s="1"/>
  <c r="B57" i="23"/>
  <c r="F51" i="38"/>
  <c r="G51" i="38" s="1"/>
  <c r="B51" i="38"/>
  <c r="I53" i="31"/>
  <c r="F63" i="10"/>
  <c r="G63" i="10" s="1"/>
  <c r="B63" i="10"/>
  <c r="B133" i="13"/>
  <c r="F133" i="13"/>
  <c r="I132" i="13"/>
  <c r="H132" i="13"/>
  <c r="G54" i="31" l="1"/>
  <c r="G53" i="30"/>
  <c r="G54" i="29"/>
  <c r="H54" i="28"/>
  <c r="G55" i="27"/>
  <c r="G58" i="25"/>
  <c r="G56" i="24"/>
  <c r="G57" i="23"/>
  <c r="G58" i="22"/>
  <c r="G61" i="11"/>
  <c r="H63" i="10"/>
  <c r="E62" i="9"/>
  <c r="G60" i="8"/>
  <c r="G62" i="7"/>
  <c r="H60" i="6"/>
  <c r="G59" i="5"/>
  <c r="G59" i="4"/>
  <c r="G59" i="3"/>
  <c r="H51" i="44"/>
  <c r="G51" i="44"/>
  <c r="D52" i="44"/>
  <c r="H51" i="45"/>
  <c r="I51" i="45" s="1"/>
  <c r="H52" i="37"/>
  <c r="I52" i="37" s="1"/>
  <c r="G50" i="40"/>
  <c r="I50" i="40" s="1"/>
  <c r="D56" i="27"/>
  <c r="I61" i="9"/>
  <c r="D58" i="23"/>
  <c r="E58" i="23"/>
  <c r="D62" i="11"/>
  <c r="D60" i="4"/>
  <c r="D64" i="10"/>
  <c r="D52" i="39"/>
  <c r="E52" i="39" s="1"/>
  <c r="D60" i="5"/>
  <c r="I50" i="46"/>
  <c r="D61" i="6"/>
  <c r="E61" i="6"/>
  <c r="D55" i="28"/>
  <c r="F51" i="46"/>
  <c r="B51" i="46"/>
  <c r="D51" i="42"/>
  <c r="E51" i="42"/>
  <c r="D63" i="7"/>
  <c r="D51" i="41"/>
  <c r="E51" i="41"/>
  <c r="D52" i="38"/>
  <c r="E52" i="38"/>
  <c r="H51" i="38"/>
  <c r="I51" i="38" s="1"/>
  <c r="D54" i="30"/>
  <c r="E54" i="30"/>
  <c r="D52" i="45"/>
  <c r="E52" i="45" s="1"/>
  <c r="D60" i="3"/>
  <c r="E60" i="3"/>
  <c r="G51" i="39"/>
  <c r="D55" i="31"/>
  <c r="D51" i="40"/>
  <c r="E51" i="40"/>
  <c r="D57" i="24"/>
  <c r="E57" i="24"/>
  <c r="D59" i="22"/>
  <c r="E59" i="22"/>
  <c r="B52" i="13"/>
  <c r="D55" i="29"/>
  <c r="D50" i="43"/>
  <c r="E50" i="43" s="1"/>
  <c r="D61" i="8"/>
  <c r="E61" i="8"/>
  <c r="H51" i="39"/>
  <c r="B62" i="9"/>
  <c r="F62" i="9"/>
  <c r="G62" i="9" s="1"/>
  <c r="D53" i="37"/>
  <c r="E53" i="37" s="1"/>
  <c r="E52" i="13"/>
  <c r="F52" i="13" s="1"/>
  <c r="G50" i="42"/>
  <c r="I50" i="42" s="1"/>
  <c r="D59" i="25"/>
  <c r="G49" i="43"/>
  <c r="I49" i="43" s="1"/>
  <c r="G50" i="41"/>
  <c r="I50" i="41" s="1"/>
  <c r="G133" i="13"/>
  <c r="D134" i="13"/>
  <c r="E55" i="31" l="1"/>
  <c r="E55" i="29"/>
  <c r="E55" i="28"/>
  <c r="F55" i="28" s="1"/>
  <c r="G55" i="28" s="1"/>
  <c r="E56" i="27"/>
  <c r="F56" i="27" s="1"/>
  <c r="H56" i="27" s="1"/>
  <c r="E59" i="25"/>
  <c r="E62" i="11"/>
  <c r="E64" i="10"/>
  <c r="F64" i="10" s="1"/>
  <c r="H64" i="10" s="1"/>
  <c r="H62" i="9"/>
  <c r="E63" i="7"/>
  <c r="E60" i="5"/>
  <c r="E60" i="4"/>
  <c r="F60" i="4" s="1"/>
  <c r="H60" i="4" s="1"/>
  <c r="E52" i="44"/>
  <c r="F52" i="44" s="1"/>
  <c r="B52" i="44"/>
  <c r="I51" i="44"/>
  <c r="I56" i="24"/>
  <c r="I60" i="6"/>
  <c r="I61" i="11"/>
  <c r="I55" i="27"/>
  <c r="I51" i="39"/>
  <c r="I60" i="8"/>
  <c r="I54" i="31"/>
  <c r="I53" i="30"/>
  <c r="I59" i="3"/>
  <c r="I63" i="10"/>
  <c r="B56" i="27"/>
  <c r="D53" i="13"/>
  <c r="E53" i="13" s="1"/>
  <c r="H52" i="13"/>
  <c r="G52" i="13"/>
  <c r="I58" i="25"/>
  <c r="B54" i="30"/>
  <c r="F54" i="30"/>
  <c r="H54" i="30" s="1"/>
  <c r="D52" i="46"/>
  <c r="B55" i="28"/>
  <c r="F61" i="6"/>
  <c r="H61" i="6" s="1"/>
  <c r="B61" i="6"/>
  <c r="B60" i="4"/>
  <c r="D63" i="9"/>
  <c r="E63" i="9" s="1"/>
  <c r="F61" i="8"/>
  <c r="H61" i="8" s="1"/>
  <c r="B61" i="8"/>
  <c r="I54" i="29"/>
  <c r="F52" i="38"/>
  <c r="H52" i="38" s="1"/>
  <c r="B52" i="38"/>
  <c r="F51" i="42"/>
  <c r="G51" i="42" s="1"/>
  <c r="B51" i="42"/>
  <c r="G51" i="46"/>
  <c r="B64" i="10"/>
  <c r="B59" i="22"/>
  <c r="F59" i="22"/>
  <c r="G59" i="22" s="1"/>
  <c r="F51" i="40"/>
  <c r="G51" i="40" s="1"/>
  <c r="B51" i="40"/>
  <c r="F55" i="31"/>
  <c r="G55" i="31" s="1"/>
  <c r="B55" i="31"/>
  <c r="F52" i="45"/>
  <c r="G52" i="45" s="1"/>
  <c r="B52" i="45"/>
  <c r="F63" i="7"/>
  <c r="H63" i="7" s="1"/>
  <c r="B63" i="7"/>
  <c r="B52" i="39"/>
  <c r="F52" i="39"/>
  <c r="H52" i="39" s="1"/>
  <c r="F62" i="11"/>
  <c r="H62" i="11" s="1"/>
  <c r="B62" i="11"/>
  <c r="F58" i="23"/>
  <c r="H58" i="23" s="1"/>
  <c r="B58" i="23"/>
  <c r="B59" i="25"/>
  <c r="F59" i="25"/>
  <c r="G59" i="25" s="1"/>
  <c r="B53" i="37"/>
  <c r="F53" i="37"/>
  <c r="H53" i="37" s="1"/>
  <c r="F50" i="43"/>
  <c r="G50" i="43" s="1"/>
  <c r="B50" i="43"/>
  <c r="B55" i="29"/>
  <c r="F55" i="29"/>
  <c r="H55" i="29" s="1"/>
  <c r="I58" i="22"/>
  <c r="B57" i="24"/>
  <c r="F57" i="24"/>
  <c r="G57" i="24" s="1"/>
  <c r="F60" i="3"/>
  <c r="H60" i="3" s="1"/>
  <c r="B60" i="3"/>
  <c r="F51" i="41"/>
  <c r="G51" i="41" s="1"/>
  <c r="B51" i="41"/>
  <c r="I62" i="7"/>
  <c r="H51" i="46"/>
  <c r="I54" i="28"/>
  <c r="F60" i="5"/>
  <c r="H60" i="5" s="1"/>
  <c r="B60" i="5"/>
  <c r="I59" i="4"/>
  <c r="I57" i="23"/>
  <c r="B134" i="13"/>
  <c r="E134" i="13"/>
  <c r="F134" i="13" s="1"/>
  <c r="H133" i="13"/>
  <c r="I133" i="13"/>
  <c r="G62" i="11" l="1"/>
  <c r="H55" i="31"/>
  <c r="G54" i="30"/>
  <c r="G55" i="29"/>
  <c r="H55" i="28"/>
  <c r="G56" i="27"/>
  <c r="H59" i="25"/>
  <c r="H57" i="24"/>
  <c r="G58" i="23"/>
  <c r="H59" i="22"/>
  <c r="G64" i="10"/>
  <c r="G61" i="8"/>
  <c r="G63" i="7"/>
  <c r="G61" i="6"/>
  <c r="G60" i="5"/>
  <c r="G60" i="4"/>
  <c r="G60" i="3"/>
  <c r="D53" i="44"/>
  <c r="G52" i="44"/>
  <c r="H52" i="44"/>
  <c r="H50" i="43"/>
  <c r="I50" i="43" s="1"/>
  <c r="I51" i="46"/>
  <c r="H51" i="40"/>
  <c r="I51" i="40" s="1"/>
  <c r="G53" i="37"/>
  <c r="I53" i="37" s="1"/>
  <c r="G52" i="39"/>
  <c r="I52" i="39" s="1"/>
  <c r="H52" i="45"/>
  <c r="I52" i="45" s="1"/>
  <c r="D57" i="27"/>
  <c r="I52" i="13"/>
  <c r="D61" i="3"/>
  <c r="D63" i="11"/>
  <c r="D56" i="31"/>
  <c r="D52" i="40"/>
  <c r="E52" i="40" s="1"/>
  <c r="D65" i="10"/>
  <c r="G52" i="38"/>
  <c r="I52" i="38" s="1"/>
  <c r="D62" i="8"/>
  <c r="I62" i="9"/>
  <c r="D62" i="6"/>
  <c r="B52" i="46"/>
  <c r="D52" i="41"/>
  <c r="E52" i="41" s="1"/>
  <c r="D56" i="29"/>
  <c r="D60" i="22"/>
  <c r="E60" i="22"/>
  <c r="D52" i="42"/>
  <c r="E52" i="42"/>
  <c r="D61" i="4"/>
  <c r="D55" i="30"/>
  <c r="D61" i="5"/>
  <c r="H51" i="41"/>
  <c r="I51" i="41" s="1"/>
  <c r="D58" i="24"/>
  <c r="D51" i="43"/>
  <c r="E51" i="43"/>
  <c r="D59" i="23"/>
  <c r="E59" i="23"/>
  <c r="D53" i="39"/>
  <c r="E53" i="39" s="1"/>
  <c r="D64" i="7"/>
  <c r="D53" i="45"/>
  <c r="E53" i="45" s="1"/>
  <c r="D56" i="28"/>
  <c r="D54" i="37"/>
  <c r="E54" i="37"/>
  <c r="D60" i="25"/>
  <c r="E60" i="25"/>
  <c r="H51" i="42"/>
  <c r="I51" i="42" s="1"/>
  <c r="D53" i="38"/>
  <c r="E53" i="38" s="1"/>
  <c r="B63" i="9"/>
  <c r="F63" i="9"/>
  <c r="H63" i="9" s="1"/>
  <c r="E52" i="46"/>
  <c r="F52" i="46" s="1"/>
  <c r="B53" i="13"/>
  <c r="F53" i="13"/>
  <c r="H53" i="13" s="1"/>
  <c r="D135" i="13"/>
  <c r="G134" i="13"/>
  <c r="E56" i="31" l="1"/>
  <c r="E55" i="30"/>
  <c r="E56" i="29"/>
  <c r="E56" i="28"/>
  <c r="F56" i="28" s="1"/>
  <c r="G56" i="28" s="1"/>
  <c r="E58" i="24"/>
  <c r="E63" i="11"/>
  <c r="F63" i="11" s="1"/>
  <c r="G63" i="11" s="1"/>
  <c r="G63" i="9"/>
  <c r="E62" i="8"/>
  <c r="F62" i="8" s="1"/>
  <c r="H62" i="8" s="1"/>
  <c r="E64" i="7"/>
  <c r="E62" i="6"/>
  <c r="E61" i="5"/>
  <c r="F61" i="5" s="1"/>
  <c r="H61" i="5" s="1"/>
  <c r="E61" i="4"/>
  <c r="F61" i="4" s="1"/>
  <c r="G61" i="4" s="1"/>
  <c r="E61" i="3"/>
  <c r="I52" i="44"/>
  <c r="B53" i="44"/>
  <c r="E53" i="44"/>
  <c r="F53" i="44" s="1"/>
  <c r="I61" i="8"/>
  <c r="I56" i="27"/>
  <c r="I54" i="30"/>
  <c r="I57" i="24"/>
  <c r="I61" i="6"/>
  <c r="B57" i="27"/>
  <c r="E57" i="27"/>
  <c r="F57" i="27" s="1"/>
  <c r="H57" i="27" s="1"/>
  <c r="I55" i="28"/>
  <c r="I60" i="4"/>
  <c r="I55" i="31"/>
  <c r="D53" i="46"/>
  <c r="E53" i="46" s="1"/>
  <c r="H52" i="46"/>
  <c r="G52" i="46"/>
  <c r="F60" i="25"/>
  <c r="H60" i="25" s="1"/>
  <c r="B60" i="25"/>
  <c r="B54" i="37"/>
  <c r="F54" i="37"/>
  <c r="G54" i="37" s="1"/>
  <c r="F52" i="42"/>
  <c r="H52" i="42" s="1"/>
  <c r="B52" i="42"/>
  <c r="F60" i="22"/>
  <c r="H60" i="22" s="1"/>
  <c r="B60" i="22"/>
  <c r="I55" i="29"/>
  <c r="B65" i="10"/>
  <c r="I62" i="11"/>
  <c r="D54" i="13"/>
  <c r="E54" i="13" s="1"/>
  <c r="B53" i="38"/>
  <c r="F53" i="38"/>
  <c r="G53" i="38" s="1"/>
  <c r="I59" i="25"/>
  <c r="F64" i="7"/>
  <c r="G64" i="7" s="1"/>
  <c r="B64" i="7"/>
  <c r="B53" i="39"/>
  <c r="F53" i="39"/>
  <c r="G53" i="39" s="1"/>
  <c r="B59" i="23"/>
  <c r="F59" i="23"/>
  <c r="G59" i="23" s="1"/>
  <c r="B62" i="6"/>
  <c r="F62" i="6"/>
  <c r="H62" i="6" s="1"/>
  <c r="I64" i="10"/>
  <c r="B61" i="3"/>
  <c r="F61" i="3"/>
  <c r="H61" i="3" s="1"/>
  <c r="D64" i="9"/>
  <c r="B56" i="28"/>
  <c r="B58" i="24"/>
  <c r="F58" i="24"/>
  <c r="H58" i="24" s="1"/>
  <c r="B61" i="4"/>
  <c r="F52" i="41"/>
  <c r="H52" i="41" s="1"/>
  <c r="B52" i="41"/>
  <c r="B62" i="8"/>
  <c r="B52" i="40"/>
  <c r="F52" i="40"/>
  <c r="G52" i="40" s="1"/>
  <c r="F56" i="31"/>
  <c r="G56" i="31" s="1"/>
  <c r="B56" i="31"/>
  <c r="B63" i="11"/>
  <c r="I60" i="3"/>
  <c r="G53" i="13"/>
  <c r="I53" i="13" s="1"/>
  <c r="B53" i="45"/>
  <c r="F53" i="45"/>
  <c r="G53" i="45" s="1"/>
  <c r="I63" i="7"/>
  <c r="I58" i="23"/>
  <c r="B51" i="43"/>
  <c r="F51" i="43"/>
  <c r="H51" i="43" s="1"/>
  <c r="B61" i="5"/>
  <c r="B55" i="30"/>
  <c r="F55" i="30"/>
  <c r="G55" i="30" s="1"/>
  <c r="I59" i="22"/>
  <c r="B56" i="29"/>
  <c r="F56" i="29"/>
  <c r="H56" i="29" s="1"/>
  <c r="E65" i="10"/>
  <c r="F65" i="10" s="1"/>
  <c r="H65" i="10" s="1"/>
  <c r="B135" i="13"/>
  <c r="I134" i="13"/>
  <c r="H134" i="13"/>
  <c r="E135" i="13"/>
  <c r="F135" i="13" s="1"/>
  <c r="H56" i="31" l="1"/>
  <c r="H55" i="30"/>
  <c r="G56" i="29"/>
  <c r="H56" i="28"/>
  <c r="G57" i="27"/>
  <c r="G60" i="25"/>
  <c r="G58" i="24"/>
  <c r="H59" i="23"/>
  <c r="G60" i="22"/>
  <c r="H63" i="11"/>
  <c r="G65" i="10"/>
  <c r="E64" i="9"/>
  <c r="F64" i="9" s="1"/>
  <c r="H64" i="9" s="1"/>
  <c r="G62" i="8"/>
  <c r="H64" i="7"/>
  <c r="G62" i="6"/>
  <c r="G61" i="5"/>
  <c r="H61" i="4"/>
  <c r="G61" i="3"/>
  <c r="G52" i="41"/>
  <c r="I52" i="41" s="1"/>
  <c r="D54" i="44"/>
  <c r="H53" i="44"/>
  <c r="G53" i="44"/>
  <c r="I52" i="46"/>
  <c r="G51" i="43"/>
  <c r="I51" i="43" s="1"/>
  <c r="I63" i="9"/>
  <c r="D58" i="27"/>
  <c r="E58" i="27" s="1"/>
  <c r="H53" i="45"/>
  <c r="I53" i="45" s="1"/>
  <c r="H53" i="39"/>
  <c r="I53" i="39" s="1"/>
  <c r="G52" i="42"/>
  <c r="I52" i="42" s="1"/>
  <c r="H54" i="37"/>
  <c r="I54" i="37" s="1"/>
  <c r="D66" i="10"/>
  <c r="D57" i="29"/>
  <c r="D53" i="40"/>
  <c r="E53" i="40" s="1"/>
  <c r="D60" i="23"/>
  <c r="D61" i="22"/>
  <c r="D62" i="5"/>
  <c r="D57" i="28"/>
  <c r="D54" i="38"/>
  <c r="E54" i="38"/>
  <c r="D57" i="31"/>
  <c r="D62" i="4"/>
  <c r="B64" i="9"/>
  <c r="D63" i="6"/>
  <c r="D54" i="39"/>
  <c r="E54" i="39"/>
  <c r="F54" i="13"/>
  <c r="H54" i="13" s="1"/>
  <c r="B54" i="13"/>
  <c r="D61" i="25"/>
  <c r="D56" i="30"/>
  <c r="D52" i="43"/>
  <c r="E52" i="43" s="1"/>
  <c r="D54" i="45"/>
  <c r="E54" i="45" s="1"/>
  <c r="D64" i="11"/>
  <c r="H52" i="40"/>
  <c r="I52" i="40" s="1"/>
  <c r="D63" i="8"/>
  <c r="D53" i="41"/>
  <c r="E53" i="41"/>
  <c r="D59" i="24"/>
  <c r="E59" i="24"/>
  <c r="D62" i="3"/>
  <c r="E62" i="3" s="1"/>
  <c r="D65" i="7"/>
  <c r="H53" i="38"/>
  <c r="I53" i="38" s="1"/>
  <c r="D53" i="42"/>
  <c r="E53" i="42"/>
  <c r="D55" i="37"/>
  <c r="E55" i="37"/>
  <c r="F53" i="46"/>
  <c r="B53" i="46"/>
  <c r="G135" i="13"/>
  <c r="D136" i="13"/>
  <c r="E57" i="31" l="1"/>
  <c r="E56" i="30"/>
  <c r="F56" i="30" s="1"/>
  <c r="H56" i="30" s="1"/>
  <c r="E57" i="29"/>
  <c r="F57" i="29" s="1"/>
  <c r="H57" i="29" s="1"/>
  <c r="E57" i="28"/>
  <c r="F57" i="28" s="1"/>
  <c r="H57" i="28" s="1"/>
  <c r="E61" i="25"/>
  <c r="E60" i="23"/>
  <c r="E61" i="22"/>
  <c r="F61" i="22" s="1"/>
  <c r="H61" i="22" s="1"/>
  <c r="E64" i="11"/>
  <c r="F64" i="11" s="1"/>
  <c r="H64" i="11" s="1"/>
  <c r="E66" i="10"/>
  <c r="G64" i="9"/>
  <c r="E63" i="8"/>
  <c r="F63" i="8" s="1"/>
  <c r="H63" i="8" s="1"/>
  <c r="E63" i="6"/>
  <c r="F63" i="6" s="1"/>
  <c r="H63" i="6" s="1"/>
  <c r="E62" i="5"/>
  <c r="E62" i="4"/>
  <c r="I60" i="22"/>
  <c r="I53" i="44"/>
  <c r="E54" i="44"/>
  <c r="F54" i="44" s="1"/>
  <c r="B54" i="44"/>
  <c r="I58" i="24"/>
  <c r="I62" i="6"/>
  <c r="I62" i="8"/>
  <c r="I56" i="31"/>
  <c r="I56" i="28"/>
  <c r="I61" i="4"/>
  <c r="I60" i="25"/>
  <c r="F58" i="27"/>
  <c r="G58" i="27" s="1"/>
  <c r="B58" i="27"/>
  <c r="I63" i="11"/>
  <c r="I55" i="30"/>
  <c r="I65" i="10"/>
  <c r="I57" i="27"/>
  <c r="D54" i="46"/>
  <c r="B65" i="7"/>
  <c r="F62" i="3"/>
  <c r="H62" i="3" s="1"/>
  <c r="B62" i="3"/>
  <c r="F59" i="24"/>
  <c r="H59" i="24" s="1"/>
  <c r="B59" i="24"/>
  <c r="F52" i="43"/>
  <c r="H52" i="43" s="1"/>
  <c r="B52" i="43"/>
  <c r="B56" i="30"/>
  <c r="D55" i="13"/>
  <c r="E55" i="13" s="1"/>
  <c r="D65" i="9"/>
  <c r="F54" i="38"/>
  <c r="G54" i="38" s="1"/>
  <c r="B54" i="38"/>
  <c r="B57" i="28"/>
  <c r="I59" i="23"/>
  <c r="F53" i="42"/>
  <c r="B53" i="42"/>
  <c r="G53" i="46"/>
  <c r="I64" i="7"/>
  <c r="I61" i="3"/>
  <c r="B63" i="6"/>
  <c r="F62" i="5"/>
  <c r="H62" i="5" s="1"/>
  <c r="B62" i="5"/>
  <c r="B61" i="22"/>
  <c r="B57" i="29"/>
  <c r="H53" i="46"/>
  <c r="B55" i="37"/>
  <c r="F55" i="37"/>
  <c r="H55" i="37" s="1"/>
  <c r="E65" i="7"/>
  <c r="F65" i="7" s="1"/>
  <c r="G65" i="7" s="1"/>
  <c r="B63" i="8"/>
  <c r="B64" i="11"/>
  <c r="F54" i="45"/>
  <c r="G54" i="45" s="1"/>
  <c r="B54" i="45"/>
  <c r="G54" i="13"/>
  <c r="I54" i="13" s="1"/>
  <c r="B54" i="39"/>
  <c r="F54" i="39"/>
  <c r="G54" i="39" s="1"/>
  <c r="I56" i="29"/>
  <c r="F53" i="41"/>
  <c r="B53" i="41"/>
  <c r="F61" i="25"/>
  <c r="G61" i="25" s="1"/>
  <c r="B61" i="25"/>
  <c r="B62" i="4"/>
  <c r="F62" i="4"/>
  <c r="H62" i="4" s="1"/>
  <c r="F57" i="31"/>
  <c r="H57" i="31" s="1"/>
  <c r="B57" i="31"/>
  <c r="B60" i="23"/>
  <c r="F60" i="23"/>
  <c r="H60" i="23" s="1"/>
  <c r="B53" i="40"/>
  <c r="F53" i="40"/>
  <c r="G53" i="40" s="1"/>
  <c r="B66" i="10"/>
  <c r="F66" i="10"/>
  <c r="H66" i="10" s="1"/>
  <c r="B136" i="13"/>
  <c r="E136" i="13"/>
  <c r="F136" i="13" s="1"/>
  <c r="H135" i="13"/>
  <c r="I135" i="13"/>
  <c r="G57" i="31" l="1"/>
  <c r="G56" i="30"/>
  <c r="G57" i="29"/>
  <c r="G57" i="28"/>
  <c r="H58" i="27"/>
  <c r="H61" i="25"/>
  <c r="G59" i="24"/>
  <c r="G60" i="23"/>
  <c r="G61" i="22"/>
  <c r="G64" i="11"/>
  <c r="G66" i="10"/>
  <c r="G63" i="8"/>
  <c r="H65" i="7"/>
  <c r="G63" i="6"/>
  <c r="G62" i="5"/>
  <c r="G62" i="4"/>
  <c r="G62" i="3"/>
  <c r="G54" i="44"/>
  <c r="H54" i="44"/>
  <c r="D55" i="44"/>
  <c r="G55" i="37"/>
  <c r="I55" i="37" s="1"/>
  <c r="I64" i="9"/>
  <c r="G52" i="43"/>
  <c r="I52" i="43" s="1"/>
  <c r="I53" i="46"/>
  <c r="H54" i="38"/>
  <c r="I54" i="38" s="1"/>
  <c r="H54" i="39"/>
  <c r="I54" i="39" s="1"/>
  <c r="D59" i="27"/>
  <c r="D66" i="7"/>
  <c r="D58" i="31"/>
  <c r="D62" i="25"/>
  <c r="E62" i="25"/>
  <c r="D54" i="41"/>
  <c r="E54" i="41"/>
  <c r="D62" i="22"/>
  <c r="E62" i="22" s="1"/>
  <c r="D64" i="6"/>
  <c r="D54" i="42"/>
  <c r="E54" i="42" s="1"/>
  <c r="B65" i="9"/>
  <c r="D61" i="23"/>
  <c r="E61" i="23" s="1"/>
  <c r="D63" i="4"/>
  <c r="E65" i="9"/>
  <c r="F65" i="9" s="1"/>
  <c r="H65" i="9" s="1"/>
  <c r="B55" i="13"/>
  <c r="F55" i="13"/>
  <c r="G55" i="13" s="1"/>
  <c r="D60" i="24"/>
  <c r="D54" i="40"/>
  <c r="E54" i="40" s="1"/>
  <c r="G53" i="41"/>
  <c r="D55" i="45"/>
  <c r="E55" i="45" s="1"/>
  <c r="D64" i="8"/>
  <c r="E56" i="37"/>
  <c r="D56" i="37"/>
  <c r="D58" i="29"/>
  <c r="D63" i="5"/>
  <c r="G53" i="42"/>
  <c r="D58" i="28"/>
  <c r="D57" i="30"/>
  <c r="B54" i="46"/>
  <c r="D67" i="10"/>
  <c r="H53" i="40"/>
  <c r="I53" i="40" s="1"/>
  <c r="H53" i="41"/>
  <c r="D55" i="39"/>
  <c r="E55" i="39" s="1"/>
  <c r="H54" i="45"/>
  <c r="I54" i="45" s="1"/>
  <c r="D65" i="11"/>
  <c r="H53" i="42"/>
  <c r="D55" i="38"/>
  <c r="E55" i="38"/>
  <c r="D53" i="43"/>
  <c r="E53" i="43"/>
  <c r="D63" i="3"/>
  <c r="E54" i="46"/>
  <c r="F54" i="46" s="1"/>
  <c r="G136" i="13"/>
  <c r="D137" i="13"/>
  <c r="E58" i="31" l="1"/>
  <c r="E57" i="30"/>
  <c r="F57" i="30" s="1"/>
  <c r="H57" i="30" s="1"/>
  <c r="E58" i="29"/>
  <c r="F58" i="29" s="1"/>
  <c r="H58" i="29" s="1"/>
  <c r="E58" i="28"/>
  <c r="F58" i="28" s="1"/>
  <c r="G58" i="28" s="1"/>
  <c r="E59" i="27"/>
  <c r="E60" i="24"/>
  <c r="E65" i="11"/>
  <c r="F65" i="11" s="1"/>
  <c r="H65" i="11" s="1"/>
  <c r="E67" i="10"/>
  <c r="F67" i="10" s="1"/>
  <c r="G67" i="10" s="1"/>
  <c r="G65" i="9"/>
  <c r="E64" i="8"/>
  <c r="E66" i="7"/>
  <c r="F66" i="7" s="1"/>
  <c r="H66" i="7" s="1"/>
  <c r="E64" i="6"/>
  <c r="F64" i="6" s="1"/>
  <c r="H64" i="6" s="1"/>
  <c r="E63" i="5"/>
  <c r="E63" i="4"/>
  <c r="F63" i="4" s="1"/>
  <c r="H63" i="4" s="1"/>
  <c r="E63" i="3"/>
  <c r="F63" i="3" s="1"/>
  <c r="H63" i="3" s="1"/>
  <c r="I53" i="41"/>
  <c r="I54" i="44"/>
  <c r="E55" i="44"/>
  <c r="F55" i="44" s="1"/>
  <c r="B55" i="44"/>
  <c r="I62" i="4"/>
  <c r="I60" i="23"/>
  <c r="I53" i="42"/>
  <c r="I57" i="31"/>
  <c r="I65" i="7"/>
  <c r="I57" i="29"/>
  <c r="B59" i="27"/>
  <c r="F59" i="27"/>
  <c r="H59" i="27" s="1"/>
  <c r="I56" i="30"/>
  <c r="I57" i="28"/>
  <c r="H55" i="13"/>
  <c r="I55" i="13" s="1"/>
  <c r="I63" i="6"/>
  <c r="I61" i="25"/>
  <c r="I58" i="27"/>
  <c r="D66" i="9"/>
  <c r="D55" i="46"/>
  <c r="G54" i="46"/>
  <c r="H54" i="46"/>
  <c r="I64" i="11"/>
  <c r="F55" i="39"/>
  <c r="B55" i="39"/>
  <c r="I66" i="10"/>
  <c r="B58" i="29"/>
  <c r="F54" i="40"/>
  <c r="H54" i="40" s="1"/>
  <c r="B54" i="40"/>
  <c r="I59" i="24"/>
  <c r="F62" i="22"/>
  <c r="H62" i="22" s="1"/>
  <c r="B62" i="22"/>
  <c r="B53" i="43"/>
  <c r="F53" i="43"/>
  <c r="H53" i="43" s="1"/>
  <c r="B63" i="5"/>
  <c r="F63" i="5"/>
  <c r="G63" i="5" s="1"/>
  <c r="B64" i="8"/>
  <c r="F64" i="8"/>
  <c r="H64" i="8" s="1"/>
  <c r="F55" i="45"/>
  <c r="B55" i="45"/>
  <c r="F54" i="42"/>
  <c r="G54" i="42" s="1"/>
  <c r="B54" i="42"/>
  <c r="I61" i="22"/>
  <c r="I62" i="3"/>
  <c r="B57" i="30"/>
  <c r="B58" i="28"/>
  <c r="B56" i="37"/>
  <c r="F56" i="37"/>
  <c r="G56" i="37" s="1"/>
  <c r="I63" i="8"/>
  <c r="B60" i="24"/>
  <c r="F60" i="24"/>
  <c r="H60" i="24" s="1"/>
  <c r="D56" i="13"/>
  <c r="E56" i="13" s="1"/>
  <c r="B63" i="4"/>
  <c r="F61" i="23"/>
  <c r="H61" i="23" s="1"/>
  <c r="B61" i="23"/>
  <c r="B58" i="31"/>
  <c r="F58" i="31"/>
  <c r="H58" i="31" s="1"/>
  <c r="B63" i="3"/>
  <c r="B55" i="38"/>
  <c r="F55" i="38"/>
  <c r="G55" i="38" s="1"/>
  <c r="B65" i="11"/>
  <c r="B67" i="10"/>
  <c r="B64" i="6"/>
  <c r="B54" i="41"/>
  <c r="F54" i="41"/>
  <c r="H54" i="41" s="1"/>
  <c r="B62" i="25"/>
  <c r="F62" i="25"/>
  <c r="H62" i="25" s="1"/>
  <c r="B66" i="7"/>
  <c r="B137" i="13"/>
  <c r="H136" i="13"/>
  <c r="I136" i="13"/>
  <c r="E137" i="13"/>
  <c r="F137" i="13" s="1"/>
  <c r="G59" i="27" l="1"/>
  <c r="G58" i="31"/>
  <c r="G57" i="30"/>
  <c r="G58" i="29"/>
  <c r="H58" i="28"/>
  <c r="G62" i="25"/>
  <c r="G60" i="24"/>
  <c r="G61" i="23"/>
  <c r="G62" i="22"/>
  <c r="G65" i="11"/>
  <c r="H67" i="10"/>
  <c r="G64" i="8"/>
  <c r="G66" i="7"/>
  <c r="G64" i="6"/>
  <c r="H63" i="5"/>
  <c r="G63" i="4"/>
  <c r="G63" i="3"/>
  <c r="H55" i="44"/>
  <c r="D56" i="44"/>
  <c r="G55" i="44"/>
  <c r="I54" i="46"/>
  <c r="I65" i="9"/>
  <c r="G54" i="41"/>
  <c r="I54" i="41" s="1"/>
  <c r="H56" i="37"/>
  <c r="I56" i="37" s="1"/>
  <c r="H55" i="38"/>
  <c r="I55" i="38" s="1"/>
  <c r="D60" i="27"/>
  <c r="D64" i="4"/>
  <c r="D56" i="45"/>
  <c r="E56" i="45" s="1"/>
  <c r="D56" i="39"/>
  <c r="E56" i="39" s="1"/>
  <c r="B66" i="9"/>
  <c r="D67" i="7"/>
  <c r="D63" i="25"/>
  <c r="D56" i="38"/>
  <c r="E56" i="38" s="1"/>
  <c r="D64" i="3"/>
  <c r="D58" i="30"/>
  <c r="E58" i="30"/>
  <c r="G55" i="45"/>
  <c r="D65" i="8"/>
  <c r="D59" i="29"/>
  <c r="E59" i="29"/>
  <c r="G55" i="39"/>
  <c r="E66" i="9"/>
  <c r="F66" i="9" s="1"/>
  <c r="H66" i="9" s="1"/>
  <c r="D68" i="10"/>
  <c r="D62" i="23"/>
  <c r="B56" i="13"/>
  <c r="F56" i="13"/>
  <c r="H56" i="13" s="1"/>
  <c r="D57" i="37"/>
  <c r="E57" i="37" s="1"/>
  <c r="D59" i="28"/>
  <c r="D55" i="42"/>
  <c r="E55" i="42" s="1"/>
  <c r="D54" i="43"/>
  <c r="E54" i="43" s="1"/>
  <c r="D63" i="22"/>
  <c r="D55" i="40"/>
  <c r="E55" i="40" s="1"/>
  <c r="H55" i="39"/>
  <c r="B55" i="46"/>
  <c r="D55" i="41"/>
  <c r="E55" i="41" s="1"/>
  <c r="D65" i="6"/>
  <c r="D66" i="11"/>
  <c r="D59" i="31"/>
  <c r="D61" i="24"/>
  <c r="H54" i="42"/>
  <c r="I54" i="42" s="1"/>
  <c r="H55" i="45"/>
  <c r="D64" i="5"/>
  <c r="G53" i="43"/>
  <c r="I53" i="43" s="1"/>
  <c r="G54" i="40"/>
  <c r="I54" i="40" s="1"/>
  <c r="E55" i="46"/>
  <c r="F55" i="46" s="1"/>
  <c r="G137" i="13"/>
  <c r="D138" i="13"/>
  <c r="I55" i="44" l="1"/>
  <c r="E59" i="31"/>
  <c r="E59" i="28"/>
  <c r="F59" i="28" s="1"/>
  <c r="H59" i="28" s="1"/>
  <c r="E60" i="27"/>
  <c r="F60" i="27" s="1"/>
  <c r="H60" i="27" s="1"/>
  <c r="E63" i="25"/>
  <c r="E61" i="24"/>
  <c r="E62" i="23"/>
  <c r="E63" i="22"/>
  <c r="F63" i="22" s="1"/>
  <c r="H63" i="22" s="1"/>
  <c r="E66" i="11"/>
  <c r="G66" i="9"/>
  <c r="I66" i="9" s="1"/>
  <c r="E65" i="6"/>
  <c r="E64" i="5"/>
  <c r="F64" i="5" s="1"/>
  <c r="H64" i="5" s="1"/>
  <c r="E64" i="3"/>
  <c r="E56" i="44"/>
  <c r="F56" i="44" s="1"/>
  <c r="B56" i="44"/>
  <c r="I61" i="23"/>
  <c r="I55" i="45"/>
  <c r="G56" i="13"/>
  <c r="I60" i="24"/>
  <c r="I67" i="10"/>
  <c r="I59" i="27"/>
  <c r="I58" i="31"/>
  <c r="I63" i="3"/>
  <c r="I62" i="25"/>
  <c r="I58" i="28"/>
  <c r="I57" i="30"/>
  <c r="I64" i="6"/>
  <c r="B60" i="27"/>
  <c r="D67" i="9"/>
  <c r="D56" i="46"/>
  <c r="E56" i="46" s="1"/>
  <c r="G55" i="46"/>
  <c r="H55" i="46"/>
  <c r="F66" i="11"/>
  <c r="H66" i="11" s="1"/>
  <c r="B66" i="11"/>
  <c r="F62" i="23"/>
  <c r="H62" i="23" s="1"/>
  <c r="B62" i="23"/>
  <c r="B68" i="10"/>
  <c r="F63" i="25"/>
  <c r="G63" i="25" s="1"/>
  <c r="B63" i="25"/>
  <c r="B55" i="40"/>
  <c r="F55" i="40"/>
  <c r="H55" i="40" s="1"/>
  <c r="B63" i="22"/>
  <c r="B59" i="28"/>
  <c r="B57" i="37"/>
  <c r="F57" i="37"/>
  <c r="B59" i="29"/>
  <c r="F59" i="29"/>
  <c r="H59" i="29" s="1"/>
  <c r="B65" i="8"/>
  <c r="F64" i="3"/>
  <c r="G64" i="3" s="1"/>
  <c r="B64" i="3"/>
  <c r="B56" i="38"/>
  <c r="F56" i="38"/>
  <c r="G56" i="38" s="1"/>
  <c r="B67" i="7"/>
  <c r="F56" i="39"/>
  <c r="H56" i="39" s="1"/>
  <c r="B56" i="39"/>
  <c r="B64" i="4"/>
  <c r="B61" i="24"/>
  <c r="F61" i="24"/>
  <c r="G61" i="24" s="1"/>
  <c r="F59" i="31"/>
  <c r="G59" i="31" s="1"/>
  <c r="B59" i="31"/>
  <c r="I65" i="11"/>
  <c r="B55" i="41"/>
  <c r="F55" i="41"/>
  <c r="H55" i="41" s="1"/>
  <c r="I56" i="13"/>
  <c r="E68" i="10"/>
  <c r="F68" i="10" s="1"/>
  <c r="H68" i="10" s="1"/>
  <c r="I64" i="8"/>
  <c r="F58" i="30"/>
  <c r="H58" i="30" s="1"/>
  <c r="B58" i="30"/>
  <c r="E67" i="7"/>
  <c r="F67" i="7" s="1"/>
  <c r="H67" i="7" s="1"/>
  <c r="I63" i="4"/>
  <c r="B64" i="5"/>
  <c r="F65" i="6"/>
  <c r="H65" i="6" s="1"/>
  <c r="B65" i="6"/>
  <c r="I55" i="39"/>
  <c r="I62" i="22"/>
  <c r="F54" i="43"/>
  <c r="H54" i="43" s="1"/>
  <c r="B54" i="43"/>
  <c r="B55" i="42"/>
  <c r="F55" i="42"/>
  <c r="G55" i="42" s="1"/>
  <c r="D57" i="13"/>
  <c r="E57" i="13" s="1"/>
  <c r="I58" i="29"/>
  <c r="E65" i="8"/>
  <c r="F65" i="8" s="1"/>
  <c r="H65" i="8" s="1"/>
  <c r="I66" i="7"/>
  <c r="B56" i="45"/>
  <c r="F56" i="45"/>
  <c r="H56" i="45" s="1"/>
  <c r="E64" i="4"/>
  <c r="F64" i="4" s="1"/>
  <c r="H64" i="4" s="1"/>
  <c r="B138" i="13"/>
  <c r="H137" i="13"/>
  <c r="I137" i="13"/>
  <c r="E138" i="13"/>
  <c r="F138" i="13" s="1"/>
  <c r="G66" i="11" l="1"/>
  <c r="G59" i="28"/>
  <c r="G60" i="27"/>
  <c r="H59" i="31"/>
  <c r="G58" i="30"/>
  <c r="G59" i="29"/>
  <c r="H63" i="25"/>
  <c r="H61" i="24"/>
  <c r="G62" i="23"/>
  <c r="G63" i="22"/>
  <c r="G68" i="10"/>
  <c r="E67" i="9"/>
  <c r="F67" i="9" s="1"/>
  <c r="G65" i="8"/>
  <c r="G67" i="7"/>
  <c r="G65" i="6"/>
  <c r="G64" i="5"/>
  <c r="G64" i="4"/>
  <c r="H64" i="3"/>
  <c r="I55" i="46"/>
  <c r="D57" i="44"/>
  <c r="G56" i="44"/>
  <c r="H56" i="44"/>
  <c r="G56" i="39"/>
  <c r="I56" i="39" s="1"/>
  <c r="G56" i="45"/>
  <c r="I56" i="45" s="1"/>
  <c r="G54" i="43"/>
  <c r="I54" i="43" s="1"/>
  <c r="D61" i="27"/>
  <c r="D65" i="4"/>
  <c r="D68" i="7"/>
  <c r="D69" i="10"/>
  <c r="D66" i="8"/>
  <c r="D62" i="24"/>
  <c r="E62" i="24"/>
  <c r="D58" i="37"/>
  <c r="E58" i="37" s="1"/>
  <c r="D60" i="28"/>
  <c r="E60" i="28" s="1"/>
  <c r="D56" i="42"/>
  <c r="E56" i="42" s="1"/>
  <c r="D59" i="30"/>
  <c r="D56" i="41"/>
  <c r="E56" i="41"/>
  <c r="H56" i="38"/>
  <c r="I56" i="38" s="1"/>
  <c r="G57" i="37"/>
  <c r="D56" i="40"/>
  <c r="E56" i="40" s="1"/>
  <c r="D64" i="25"/>
  <c r="E64" i="25" s="1"/>
  <c r="D63" i="23"/>
  <c r="B67" i="9"/>
  <c r="D57" i="45"/>
  <c r="E57" i="45" s="1"/>
  <c r="F57" i="13"/>
  <c r="H57" i="13" s="1"/>
  <c r="B57" i="13"/>
  <c r="D55" i="43"/>
  <c r="E55" i="43" s="1"/>
  <c r="D66" i="6"/>
  <c r="G55" i="41"/>
  <c r="I55" i="41" s="1"/>
  <c r="D57" i="39"/>
  <c r="E57" i="39" s="1"/>
  <c r="D60" i="29"/>
  <c r="E60" i="29"/>
  <c r="H57" i="37"/>
  <c r="D64" i="22"/>
  <c r="H55" i="42"/>
  <c r="I55" i="42" s="1"/>
  <c r="D65" i="5"/>
  <c r="D60" i="31"/>
  <c r="D57" i="38"/>
  <c r="E57" i="38"/>
  <c r="D65" i="3"/>
  <c r="G55" i="40"/>
  <c r="I55" i="40" s="1"/>
  <c r="D67" i="11"/>
  <c r="F56" i="46"/>
  <c r="H56" i="46" s="1"/>
  <c r="B56" i="46"/>
  <c r="G138" i="13"/>
  <c r="D139" i="13"/>
  <c r="E139" i="13" s="1"/>
  <c r="I56" i="44" l="1"/>
  <c r="I57" i="37"/>
  <c r="E60" i="31"/>
  <c r="F60" i="31" s="1"/>
  <c r="G60" i="31" s="1"/>
  <c r="E59" i="30"/>
  <c r="F59" i="30" s="1"/>
  <c r="H59" i="30" s="1"/>
  <c r="E63" i="23"/>
  <c r="F63" i="23" s="1"/>
  <c r="G63" i="23" s="1"/>
  <c r="E64" i="22"/>
  <c r="E67" i="11"/>
  <c r="F67" i="11" s="1"/>
  <c r="G67" i="11" s="1"/>
  <c r="E69" i="10"/>
  <c r="F69" i="10" s="1"/>
  <c r="G69" i="10" s="1"/>
  <c r="H67" i="9"/>
  <c r="G67" i="9"/>
  <c r="E66" i="8"/>
  <c r="E68" i="7"/>
  <c r="F68" i="7" s="1"/>
  <c r="H68" i="7" s="1"/>
  <c r="E66" i="6"/>
  <c r="E65" i="5"/>
  <c r="E65" i="4"/>
  <c r="E65" i="3"/>
  <c r="F65" i="3" s="1"/>
  <c r="G65" i="3" s="1"/>
  <c r="I58" i="30"/>
  <c r="E57" i="44"/>
  <c r="F57" i="44" s="1"/>
  <c r="B57" i="44"/>
  <c r="I60" i="27"/>
  <c r="I64" i="3"/>
  <c r="I62" i="23"/>
  <c r="I67" i="7"/>
  <c r="G56" i="46"/>
  <c r="I56" i="46" s="1"/>
  <c r="I63" i="25"/>
  <c r="I63" i="22"/>
  <c r="E61" i="27"/>
  <c r="F61" i="27" s="1"/>
  <c r="H61" i="27" s="1"/>
  <c r="B61" i="27"/>
  <c r="I66" i="11"/>
  <c r="I59" i="31"/>
  <c r="I59" i="29"/>
  <c r="F64" i="25"/>
  <c r="H64" i="25" s="1"/>
  <c r="B64" i="25"/>
  <c r="I61" i="24"/>
  <c r="D57" i="46"/>
  <c r="E57" i="46" s="1"/>
  <c r="B60" i="31"/>
  <c r="B55" i="43"/>
  <c r="F55" i="43"/>
  <c r="G55" i="43" s="1"/>
  <c r="D58" i="13"/>
  <c r="D68" i="9"/>
  <c r="B59" i="30"/>
  <c r="B56" i="42"/>
  <c r="F56" i="42"/>
  <c r="B58" i="37"/>
  <c r="F58" i="37"/>
  <c r="F62" i="24"/>
  <c r="H62" i="24" s="1"/>
  <c r="B62" i="24"/>
  <c r="B67" i="11"/>
  <c r="B65" i="3"/>
  <c r="F57" i="38"/>
  <c r="G57" i="38" s="1"/>
  <c r="B57" i="38"/>
  <c r="B65" i="5"/>
  <c r="F65" i="5"/>
  <c r="G65" i="5" s="1"/>
  <c r="B57" i="39"/>
  <c r="F57" i="39"/>
  <c r="G57" i="39" s="1"/>
  <c r="I65" i="6"/>
  <c r="B60" i="28"/>
  <c r="F60" i="28"/>
  <c r="G60" i="28" s="1"/>
  <c r="F66" i="8"/>
  <c r="H66" i="8" s="1"/>
  <c r="B66" i="8"/>
  <c r="B69" i="10"/>
  <c r="B65" i="4"/>
  <c r="F65" i="4"/>
  <c r="G65" i="4" s="1"/>
  <c r="B64" i="22"/>
  <c r="F64" i="22"/>
  <c r="H64" i="22" s="1"/>
  <c r="B60" i="29"/>
  <c r="F60" i="29"/>
  <c r="H60" i="29" s="1"/>
  <c r="F66" i="6"/>
  <c r="H66" i="6" s="1"/>
  <c r="B66" i="6"/>
  <c r="G57" i="13"/>
  <c r="I57" i="13" s="1"/>
  <c r="B57" i="45"/>
  <c r="F57" i="45"/>
  <c r="B63" i="23"/>
  <c r="F56" i="40"/>
  <c r="H56" i="40" s="1"/>
  <c r="B56" i="40"/>
  <c r="B56" i="41"/>
  <c r="F56" i="41"/>
  <c r="G56" i="41" s="1"/>
  <c r="I59" i="28"/>
  <c r="I65" i="8"/>
  <c r="I68" i="10"/>
  <c r="B68" i="7"/>
  <c r="I64" i="4"/>
  <c r="I138" i="13"/>
  <c r="H138" i="13"/>
  <c r="B139" i="13"/>
  <c r="F139" i="13"/>
  <c r="H60" i="31" l="1"/>
  <c r="G59" i="30"/>
  <c r="G60" i="29"/>
  <c r="H60" i="28"/>
  <c r="G61" i="27"/>
  <c r="G64" i="25"/>
  <c r="G62" i="24"/>
  <c r="H63" i="23"/>
  <c r="G64" i="22"/>
  <c r="H67" i="11"/>
  <c r="H69" i="10"/>
  <c r="E68" i="9"/>
  <c r="G66" i="8"/>
  <c r="G68" i="7"/>
  <c r="G66" i="6"/>
  <c r="H65" i="5"/>
  <c r="H65" i="4"/>
  <c r="H65" i="3"/>
  <c r="H57" i="44"/>
  <c r="D58" i="44"/>
  <c r="G57" i="44"/>
  <c r="D62" i="27"/>
  <c r="H56" i="41"/>
  <c r="I56" i="41" s="1"/>
  <c r="G56" i="40"/>
  <c r="I56" i="40" s="1"/>
  <c r="D58" i="45"/>
  <c r="E58" i="45" s="1"/>
  <c r="D67" i="8"/>
  <c r="D66" i="5"/>
  <c r="D68" i="11"/>
  <c r="E59" i="37"/>
  <c r="D59" i="37"/>
  <c r="D57" i="42"/>
  <c r="E57" i="42" s="1"/>
  <c r="D61" i="31"/>
  <c r="D57" i="40"/>
  <c r="E57" i="40"/>
  <c r="H57" i="45"/>
  <c r="D65" i="22"/>
  <c r="D61" i="28"/>
  <c r="D58" i="39"/>
  <c r="E58" i="39" s="1"/>
  <c r="D58" i="38"/>
  <c r="E58" i="38" s="1"/>
  <c r="H58" i="37"/>
  <c r="H56" i="42"/>
  <c r="D60" i="30"/>
  <c r="B68" i="9"/>
  <c r="F68" i="9"/>
  <c r="H68" i="9" s="1"/>
  <c r="D56" i="43"/>
  <c r="E56" i="43" s="1"/>
  <c r="D69" i="7"/>
  <c r="G57" i="45"/>
  <c r="D67" i="6"/>
  <c r="D70" i="10"/>
  <c r="H57" i="39"/>
  <c r="I57" i="39" s="1"/>
  <c r="H57" i="38"/>
  <c r="I57" i="38" s="1"/>
  <c r="D66" i="3"/>
  <c r="G58" i="37"/>
  <c r="G56" i="42"/>
  <c r="B58" i="13"/>
  <c r="H55" i="43"/>
  <c r="I55" i="43" s="1"/>
  <c r="D57" i="41"/>
  <c r="E57" i="41" s="1"/>
  <c r="D64" i="23"/>
  <c r="D61" i="29"/>
  <c r="E61" i="29"/>
  <c r="D66" i="4"/>
  <c r="D63" i="24"/>
  <c r="I67" i="9"/>
  <c r="E58" i="13"/>
  <c r="F58" i="13" s="1"/>
  <c r="F57" i="46"/>
  <c r="H57" i="46" s="1"/>
  <c r="B57" i="46"/>
  <c r="D65" i="25"/>
  <c r="G139" i="13"/>
  <c r="D140" i="13"/>
  <c r="E140" i="13" s="1"/>
  <c r="E61" i="31" l="1"/>
  <c r="F61" i="31" s="1"/>
  <c r="H61" i="31" s="1"/>
  <c r="E60" i="30"/>
  <c r="E61" i="28"/>
  <c r="B62" i="27"/>
  <c r="E65" i="25"/>
  <c r="E63" i="24"/>
  <c r="E64" i="23"/>
  <c r="F64" i="23" s="1"/>
  <c r="H64" i="23" s="1"/>
  <c r="E65" i="22"/>
  <c r="F65" i="22" s="1"/>
  <c r="H65" i="22" s="1"/>
  <c r="G68" i="9"/>
  <c r="E67" i="8"/>
  <c r="F67" i="8" s="1"/>
  <c r="G67" i="8" s="1"/>
  <c r="E67" i="6"/>
  <c r="F67" i="6" s="1"/>
  <c r="H67" i="6" s="1"/>
  <c r="B58" i="44"/>
  <c r="E58" i="44"/>
  <c r="F58" i="44" s="1"/>
  <c r="I57" i="44"/>
  <c r="I65" i="4"/>
  <c r="I63" i="23"/>
  <c r="I66" i="8"/>
  <c r="I67" i="11"/>
  <c r="I61" i="27"/>
  <c r="I62" i="24"/>
  <c r="I60" i="29"/>
  <c r="I69" i="10"/>
  <c r="I64" i="22"/>
  <c r="E62" i="27"/>
  <c r="F62" i="27" s="1"/>
  <c r="H62" i="27" s="1"/>
  <c r="D59" i="13"/>
  <c r="E59" i="13" s="1"/>
  <c r="G58" i="13"/>
  <c r="H58" i="13"/>
  <c r="B70" i="10"/>
  <c r="F56" i="43"/>
  <c r="B56" i="43"/>
  <c r="I58" i="37"/>
  <c r="F58" i="39"/>
  <c r="G58" i="39" s="1"/>
  <c r="B58" i="39"/>
  <c r="B61" i="28"/>
  <c r="F61" i="28"/>
  <c r="H61" i="28" s="1"/>
  <c r="I60" i="31"/>
  <c r="F59" i="37"/>
  <c r="H59" i="37" s="1"/>
  <c r="B59" i="37"/>
  <c r="D58" i="46"/>
  <c r="B63" i="24"/>
  <c r="F63" i="24"/>
  <c r="H63" i="24" s="1"/>
  <c r="B66" i="4"/>
  <c r="B66" i="3"/>
  <c r="B69" i="7"/>
  <c r="D69" i="9"/>
  <c r="I59" i="30"/>
  <c r="I57" i="45"/>
  <c r="B61" i="31"/>
  <c r="B68" i="11"/>
  <c r="B66" i="5"/>
  <c r="F65" i="25"/>
  <c r="G65" i="25" s="1"/>
  <c r="B65" i="25"/>
  <c r="I64" i="25"/>
  <c r="G57" i="46"/>
  <c r="I57" i="46" s="1"/>
  <c r="E66" i="4"/>
  <c r="F66" i="4" s="1"/>
  <c r="H66" i="4" s="1"/>
  <c r="I65" i="3"/>
  <c r="I66" i="6"/>
  <c r="I68" i="7"/>
  <c r="F60" i="30"/>
  <c r="H60" i="30" s="1"/>
  <c r="B60" i="30"/>
  <c r="B58" i="38"/>
  <c r="F58" i="38"/>
  <c r="H58" i="38" s="1"/>
  <c r="I60" i="28"/>
  <c r="B65" i="22"/>
  <c r="E68" i="11"/>
  <c r="F68" i="11" s="1"/>
  <c r="H68" i="11" s="1"/>
  <c r="E66" i="5"/>
  <c r="F66" i="5" s="1"/>
  <c r="H66" i="5" s="1"/>
  <c r="B61" i="29"/>
  <c r="F61" i="29"/>
  <c r="H61" i="29" s="1"/>
  <c r="B64" i="23"/>
  <c r="B57" i="41"/>
  <c r="F57" i="41"/>
  <c r="E66" i="3"/>
  <c r="F66" i="3" s="1"/>
  <c r="H66" i="3" s="1"/>
  <c r="E70" i="10"/>
  <c r="F70" i="10" s="1"/>
  <c r="H70" i="10" s="1"/>
  <c r="B67" i="6"/>
  <c r="E69" i="7"/>
  <c r="F69" i="7" s="1"/>
  <c r="H69" i="7" s="1"/>
  <c r="I56" i="42"/>
  <c r="F57" i="40"/>
  <c r="G57" i="40" s="1"/>
  <c r="B57" i="40"/>
  <c r="B57" i="42"/>
  <c r="F57" i="42"/>
  <c r="G57" i="42" s="1"/>
  <c r="B67" i="8"/>
  <c r="F58" i="45"/>
  <c r="G58" i="45" s="1"/>
  <c r="B58" i="45"/>
  <c r="H139" i="13"/>
  <c r="I139" i="13"/>
  <c r="F140" i="13"/>
  <c r="B140" i="13"/>
  <c r="G63" i="24" l="1"/>
  <c r="H58" i="45"/>
  <c r="G61" i="31"/>
  <c r="G60" i="30"/>
  <c r="G61" i="29"/>
  <c r="G61" i="28"/>
  <c r="G62" i="27"/>
  <c r="H65" i="25"/>
  <c r="G64" i="23"/>
  <c r="G65" i="22"/>
  <c r="G68" i="11"/>
  <c r="G70" i="10"/>
  <c r="H67" i="8"/>
  <c r="G69" i="7"/>
  <c r="G67" i="6"/>
  <c r="G66" i="5"/>
  <c r="G66" i="4"/>
  <c r="I66" i="4" s="1"/>
  <c r="G66" i="3"/>
  <c r="H57" i="40"/>
  <c r="I57" i="40" s="1"/>
  <c r="H58" i="44"/>
  <c r="D59" i="44"/>
  <c r="G58" i="44"/>
  <c r="I68" i="9"/>
  <c r="H57" i="42"/>
  <c r="I57" i="42" s="1"/>
  <c r="H58" i="39"/>
  <c r="I58" i="39" s="1"/>
  <c r="G59" i="37"/>
  <c r="I58" i="45"/>
  <c r="G58" i="38"/>
  <c r="I58" i="38" s="1"/>
  <c r="I58" i="13"/>
  <c r="D63" i="27"/>
  <c r="D67" i="3"/>
  <c r="D67" i="5"/>
  <c r="D67" i="4"/>
  <c r="D70" i="7"/>
  <c r="D69" i="11"/>
  <c r="D71" i="10"/>
  <c r="D58" i="41"/>
  <c r="E58" i="41" s="1"/>
  <c r="D62" i="31"/>
  <c r="B69" i="9"/>
  <c r="B58" i="46"/>
  <c r="D57" i="43"/>
  <c r="E57" i="43" s="1"/>
  <c r="D58" i="40"/>
  <c r="E58" i="40"/>
  <c r="D68" i="6"/>
  <c r="H57" i="41"/>
  <c r="D65" i="23"/>
  <c r="E69" i="9"/>
  <c r="F69" i="9" s="1"/>
  <c r="H69" i="9" s="1"/>
  <c r="E58" i="46"/>
  <c r="F58" i="46" s="1"/>
  <c r="I59" i="37"/>
  <c r="G56" i="43"/>
  <c r="D62" i="29"/>
  <c r="E62" i="29" s="1"/>
  <c r="D59" i="38"/>
  <c r="E59" i="38"/>
  <c r="D64" i="24"/>
  <c r="D68" i="8"/>
  <c r="D59" i="45"/>
  <c r="E59" i="45" s="1"/>
  <c r="D58" i="42"/>
  <c r="E58" i="42"/>
  <c r="G57" i="41"/>
  <c r="D66" i="22"/>
  <c r="D61" i="30"/>
  <c r="D66" i="25"/>
  <c r="D60" i="37"/>
  <c r="E60" i="37" s="1"/>
  <c r="D62" i="28"/>
  <c r="D59" i="39"/>
  <c r="E59" i="39" s="1"/>
  <c r="H56" i="43"/>
  <c r="B59" i="13"/>
  <c r="F59" i="13"/>
  <c r="G59" i="13" s="1"/>
  <c r="D141" i="13"/>
  <c r="G140" i="13"/>
  <c r="E62" i="31" l="1"/>
  <c r="E61" i="30"/>
  <c r="F61" i="30" s="1"/>
  <c r="H61" i="30" s="1"/>
  <c r="E62" i="28"/>
  <c r="F62" i="28" s="1"/>
  <c r="H62" i="28" s="1"/>
  <c r="B63" i="27"/>
  <c r="E64" i="24"/>
  <c r="E65" i="23"/>
  <c r="E66" i="22"/>
  <c r="F66" i="22" s="1"/>
  <c r="H66" i="22" s="1"/>
  <c r="E69" i="11"/>
  <c r="F69" i="11" s="1"/>
  <c r="H69" i="11" s="1"/>
  <c r="E71" i="10"/>
  <c r="F71" i="10" s="1"/>
  <c r="G69" i="9"/>
  <c r="E70" i="7"/>
  <c r="E67" i="5"/>
  <c r="F67" i="5" s="1"/>
  <c r="H67" i="5" s="1"/>
  <c r="E67" i="4"/>
  <c r="E67" i="3"/>
  <c r="E59" i="44"/>
  <c r="F59" i="44" s="1"/>
  <c r="B59" i="44"/>
  <c r="I58" i="44"/>
  <c r="I56" i="43"/>
  <c r="H59" i="13"/>
  <c r="I59" i="13" s="1"/>
  <c r="I61" i="29"/>
  <c r="I62" i="27"/>
  <c r="I65" i="25"/>
  <c r="E63" i="27"/>
  <c r="F63" i="27" s="1"/>
  <c r="H63" i="27" s="1"/>
  <c r="I61" i="28"/>
  <c r="D59" i="46"/>
  <c r="E59" i="46" s="1"/>
  <c r="H58" i="46"/>
  <c r="G58" i="46"/>
  <c r="D70" i="9"/>
  <c r="B60" i="37"/>
  <c r="F60" i="37"/>
  <c r="G60" i="37" s="1"/>
  <c r="B66" i="25"/>
  <c r="B61" i="30"/>
  <c r="I65" i="22"/>
  <c r="B68" i="8"/>
  <c r="F59" i="38"/>
  <c r="H59" i="38" s="1"/>
  <c r="B59" i="38"/>
  <c r="B65" i="23"/>
  <c r="F65" i="23"/>
  <c r="G65" i="23" s="1"/>
  <c r="B68" i="6"/>
  <c r="I61" i="31"/>
  <c r="I70" i="10"/>
  <c r="E66" i="25"/>
  <c r="F66" i="25" s="1"/>
  <c r="H66" i="25" s="1"/>
  <c r="F59" i="45"/>
  <c r="H59" i="45" s="1"/>
  <c r="B59" i="45"/>
  <c r="I63" i="24"/>
  <c r="I57" i="41"/>
  <c r="I67" i="6"/>
  <c r="B62" i="31"/>
  <c r="F62" i="31"/>
  <c r="G62" i="31" s="1"/>
  <c r="B69" i="11"/>
  <c r="F70" i="7"/>
  <c r="H70" i="7" s="1"/>
  <c r="B70" i="7"/>
  <c r="D60" i="13"/>
  <c r="E60" i="13" s="1"/>
  <c r="B59" i="39"/>
  <c r="F59" i="39"/>
  <c r="H59" i="39" s="1"/>
  <c r="B62" i="28"/>
  <c r="I60" i="30"/>
  <c r="B66" i="22"/>
  <c r="I67" i="8"/>
  <c r="B64" i="24"/>
  <c r="F64" i="24"/>
  <c r="H64" i="24" s="1"/>
  <c r="B62" i="29"/>
  <c r="F62" i="29"/>
  <c r="H62" i="29" s="1"/>
  <c r="I64" i="23"/>
  <c r="E68" i="6"/>
  <c r="F68" i="6" s="1"/>
  <c r="H68" i="6" s="1"/>
  <c r="I68" i="11"/>
  <c r="I69" i="7"/>
  <c r="B67" i="5"/>
  <c r="I66" i="3"/>
  <c r="F58" i="42"/>
  <c r="H58" i="42" s="1"/>
  <c r="B58" i="42"/>
  <c r="E68" i="8"/>
  <c r="F68" i="8" s="1"/>
  <c r="H68" i="8" s="1"/>
  <c r="F58" i="40"/>
  <c r="H58" i="40" s="1"/>
  <c r="B58" i="40"/>
  <c r="B57" i="43"/>
  <c r="F57" i="43"/>
  <c r="G57" i="43" s="1"/>
  <c r="F58" i="41"/>
  <c r="G58" i="41" s="1"/>
  <c r="B58" i="41"/>
  <c r="B71" i="10"/>
  <c r="F67" i="4"/>
  <c r="G67" i="4" s="1"/>
  <c r="B67" i="4"/>
  <c r="B67" i="3"/>
  <c r="F67" i="3"/>
  <c r="H67" i="3" s="1"/>
  <c r="B141" i="13"/>
  <c r="H140" i="13"/>
  <c r="I140" i="13"/>
  <c r="E141" i="13"/>
  <c r="F141" i="13" s="1"/>
  <c r="H62" i="31" l="1"/>
  <c r="G61" i="30"/>
  <c r="G62" i="29"/>
  <c r="G62" i="28"/>
  <c r="G63" i="27"/>
  <c r="G66" i="25"/>
  <c r="G64" i="24"/>
  <c r="H65" i="23"/>
  <c r="G66" i="22"/>
  <c r="G69" i="11"/>
  <c r="H71" i="10"/>
  <c r="G71" i="10"/>
  <c r="E70" i="9"/>
  <c r="G68" i="8"/>
  <c r="G70" i="7"/>
  <c r="G68" i="6"/>
  <c r="G67" i="5"/>
  <c r="H67" i="4"/>
  <c r="G67" i="3"/>
  <c r="G59" i="39"/>
  <c r="G59" i="44"/>
  <c r="H59" i="44"/>
  <c r="D60" i="44"/>
  <c r="G58" i="42"/>
  <c r="I58" i="42" s="1"/>
  <c r="G59" i="38"/>
  <c r="I59" i="38" s="1"/>
  <c r="H57" i="43"/>
  <c r="I57" i="43" s="1"/>
  <c r="I58" i="46"/>
  <c r="I59" i="39"/>
  <c r="D64" i="27"/>
  <c r="D69" i="6"/>
  <c r="D67" i="25"/>
  <c r="D69" i="8"/>
  <c r="D63" i="29"/>
  <c r="D63" i="28"/>
  <c r="D63" i="31"/>
  <c r="D60" i="45"/>
  <c r="E60" i="45" s="1"/>
  <c r="D61" i="37"/>
  <c r="E61" i="37" s="1"/>
  <c r="D68" i="4"/>
  <c r="H58" i="41"/>
  <c r="I58" i="41" s="1"/>
  <c r="D58" i="43"/>
  <c r="E58" i="43" s="1"/>
  <c r="D59" i="40"/>
  <c r="E59" i="40"/>
  <c r="D71" i="7"/>
  <c r="D62" i="30"/>
  <c r="D68" i="3"/>
  <c r="D72" i="10"/>
  <c r="G58" i="40"/>
  <c r="I58" i="40" s="1"/>
  <c r="D59" i="42"/>
  <c r="E59" i="42" s="1"/>
  <c r="D65" i="24"/>
  <c r="D67" i="22"/>
  <c r="D60" i="39"/>
  <c r="E60" i="39"/>
  <c r="D60" i="38"/>
  <c r="E60" i="38" s="1"/>
  <c r="H60" i="37"/>
  <c r="I60" i="37" s="1"/>
  <c r="B70" i="9"/>
  <c r="F70" i="9"/>
  <c r="H70" i="9" s="1"/>
  <c r="D59" i="41"/>
  <c r="E59" i="41" s="1"/>
  <c r="D68" i="5"/>
  <c r="B60" i="13"/>
  <c r="F60" i="13"/>
  <c r="H60" i="13" s="1"/>
  <c r="D70" i="11"/>
  <c r="G59" i="45"/>
  <c r="I59" i="45" s="1"/>
  <c r="D66" i="23"/>
  <c r="I69" i="9"/>
  <c r="B59" i="46"/>
  <c r="F59" i="46"/>
  <c r="H59" i="46" s="1"/>
  <c r="G141" i="13"/>
  <c r="D142" i="13"/>
  <c r="E142" i="13" s="1"/>
  <c r="I59" i="44" l="1"/>
  <c r="E62" i="30"/>
  <c r="E63" i="29"/>
  <c r="F63" i="29" s="1"/>
  <c r="H63" i="29" s="1"/>
  <c r="E64" i="27"/>
  <c r="F64" i="27" s="1"/>
  <c r="G64" i="27" s="1"/>
  <c r="E67" i="25"/>
  <c r="E65" i="24"/>
  <c r="E66" i="23"/>
  <c r="E67" i="22"/>
  <c r="F67" i="22" s="1"/>
  <c r="H67" i="22" s="1"/>
  <c r="E70" i="11"/>
  <c r="E72" i="10"/>
  <c r="E73" i="10" s="1"/>
  <c r="G70" i="9"/>
  <c r="E69" i="8"/>
  <c r="F69" i="8" s="1"/>
  <c r="H69" i="8" s="1"/>
  <c r="E71" i="7"/>
  <c r="E69" i="6"/>
  <c r="E68" i="5"/>
  <c r="F68" i="5" s="1"/>
  <c r="H68" i="5" s="1"/>
  <c r="E68" i="4"/>
  <c r="F68" i="4" s="1"/>
  <c r="G68" i="4" s="1"/>
  <c r="E68" i="3"/>
  <c r="E60" i="44"/>
  <c r="F60" i="44" s="1"/>
  <c r="B60" i="44"/>
  <c r="I64" i="24"/>
  <c r="I67" i="3"/>
  <c r="I66" i="22"/>
  <c r="I70" i="7"/>
  <c r="I71" i="10"/>
  <c r="G59" i="46"/>
  <c r="I59" i="46" s="1"/>
  <c r="I61" i="30"/>
  <c r="B64" i="27"/>
  <c r="I62" i="29"/>
  <c r="I68" i="8"/>
  <c r="I63" i="27"/>
  <c r="D61" i="13"/>
  <c r="E61" i="13" s="1"/>
  <c r="D71" i="9"/>
  <c r="F60" i="38"/>
  <c r="G60" i="38" s="1"/>
  <c r="B60" i="38"/>
  <c r="F60" i="39"/>
  <c r="G60" i="39" s="1"/>
  <c r="B60" i="39"/>
  <c r="F72" i="10"/>
  <c r="H72" i="10" s="1"/>
  <c r="B72" i="10"/>
  <c r="B71" i="7"/>
  <c r="F71" i="7"/>
  <c r="H71" i="7" s="1"/>
  <c r="B58" i="43"/>
  <c r="F58" i="43"/>
  <c r="H58" i="43" s="1"/>
  <c r="I67" i="4"/>
  <c r="I62" i="28"/>
  <c r="B63" i="29"/>
  <c r="I65" i="23"/>
  <c r="F70" i="11"/>
  <c r="H70" i="11" s="1"/>
  <c r="B70" i="11"/>
  <c r="B63" i="31"/>
  <c r="F67" i="25"/>
  <c r="G67" i="25" s="1"/>
  <c r="B67" i="25"/>
  <c r="B69" i="6"/>
  <c r="F69" i="6"/>
  <c r="G69" i="6" s="1"/>
  <c r="B67" i="22"/>
  <c r="F59" i="42"/>
  <c r="H59" i="42" s="1"/>
  <c r="B59" i="42"/>
  <c r="F68" i="3"/>
  <c r="H68" i="3" s="1"/>
  <c r="B68" i="3"/>
  <c r="B62" i="30"/>
  <c r="F62" i="30"/>
  <c r="H62" i="30" s="1"/>
  <c r="F59" i="40"/>
  <c r="G59" i="40" s="1"/>
  <c r="B59" i="40"/>
  <c r="F61" i="37"/>
  <c r="G61" i="37" s="1"/>
  <c r="B61" i="37"/>
  <c r="F60" i="45"/>
  <c r="B60" i="45"/>
  <c r="I62" i="31"/>
  <c r="B63" i="28"/>
  <c r="D60" i="46"/>
  <c r="E60" i="46" s="1"/>
  <c r="F66" i="23"/>
  <c r="H66" i="23" s="1"/>
  <c r="B66" i="23"/>
  <c r="I69" i="11"/>
  <c r="G60" i="13"/>
  <c r="I60" i="13" s="1"/>
  <c r="B68" i="5"/>
  <c r="F59" i="41"/>
  <c r="H59" i="41" s="1"/>
  <c r="B59" i="41"/>
  <c r="B65" i="24"/>
  <c r="F65" i="24"/>
  <c r="G65" i="24" s="1"/>
  <c r="B68" i="4"/>
  <c r="E63" i="31"/>
  <c r="F63" i="31" s="1"/>
  <c r="H63" i="31" s="1"/>
  <c r="E63" i="28"/>
  <c r="F63" i="28" s="1"/>
  <c r="H63" i="28" s="1"/>
  <c r="B69" i="8"/>
  <c r="I66" i="25"/>
  <c r="I68" i="6"/>
  <c r="I141" i="13"/>
  <c r="H141" i="13"/>
  <c r="B142" i="13"/>
  <c r="F142" i="13"/>
  <c r="G69" i="8" l="1"/>
  <c r="G63" i="31"/>
  <c r="G62" i="30"/>
  <c r="G63" i="29"/>
  <c r="G63" i="28"/>
  <c r="H64" i="27"/>
  <c r="H67" i="25"/>
  <c r="H65" i="24"/>
  <c r="G66" i="23"/>
  <c r="G67" i="22"/>
  <c r="G70" i="11"/>
  <c r="G72" i="10"/>
  <c r="G73" i="10" s="1"/>
  <c r="E71" i="9"/>
  <c r="G71" i="7"/>
  <c r="H69" i="6"/>
  <c r="G68" i="5"/>
  <c r="H68" i="4"/>
  <c r="G68" i="3"/>
  <c r="H60" i="44"/>
  <c r="D61" i="44"/>
  <c r="G60" i="44"/>
  <c r="G59" i="41"/>
  <c r="I59" i="41" s="1"/>
  <c r="I70" i="9"/>
  <c r="H60" i="39"/>
  <c r="I60" i="39" s="1"/>
  <c r="H59" i="40"/>
  <c r="I59" i="40" s="1"/>
  <c r="G59" i="42"/>
  <c r="I59" i="42" s="1"/>
  <c r="G58" i="43"/>
  <c r="I58" i="43" s="1"/>
  <c r="D65" i="27"/>
  <c r="D64" i="28"/>
  <c r="D64" i="31"/>
  <c r="D70" i="8"/>
  <c r="D69" i="5"/>
  <c r="D67" i="23"/>
  <c r="D61" i="45"/>
  <c r="E61" i="45" s="1"/>
  <c r="H61" i="37"/>
  <c r="I61" i="37" s="1"/>
  <c r="D70" i="6"/>
  <c r="D71" i="11"/>
  <c r="H60" i="38"/>
  <c r="I60" i="38" s="1"/>
  <c r="D66" i="24"/>
  <c r="H60" i="45"/>
  <c r="D60" i="40"/>
  <c r="E60" i="40" s="1"/>
  <c r="D69" i="3"/>
  <c r="D60" i="42"/>
  <c r="E60" i="42" s="1"/>
  <c r="D61" i="39"/>
  <c r="E61" i="39" s="1"/>
  <c r="D60" i="41"/>
  <c r="E60" i="41" s="1"/>
  <c r="F60" i="46"/>
  <c r="G60" i="46" s="1"/>
  <c r="B60" i="46"/>
  <c r="D63" i="30"/>
  <c r="D59" i="43"/>
  <c r="E59" i="43" s="1"/>
  <c r="D72" i="7"/>
  <c r="D69" i="4"/>
  <c r="G60" i="45"/>
  <c r="D62" i="37"/>
  <c r="E62" i="37" s="1"/>
  <c r="D68" i="22"/>
  <c r="D68" i="25"/>
  <c r="D64" i="29"/>
  <c r="D61" i="38"/>
  <c r="E61" i="38"/>
  <c r="F71" i="9"/>
  <c r="G71" i="9" s="1"/>
  <c r="B71" i="9"/>
  <c r="F61" i="13"/>
  <c r="H61" i="13" s="1"/>
  <c r="B61" i="13"/>
  <c r="D143" i="13"/>
  <c r="E143" i="13" s="1"/>
  <c r="G142" i="13"/>
  <c r="I60" i="44" l="1"/>
  <c r="E63" i="30"/>
  <c r="E64" i="29"/>
  <c r="E64" i="28"/>
  <c r="F64" i="28" s="1"/>
  <c r="G64" i="28" s="1"/>
  <c r="E68" i="25"/>
  <c r="E66" i="24"/>
  <c r="E68" i="22"/>
  <c r="H71" i="9"/>
  <c r="E70" i="8"/>
  <c r="I67" i="25"/>
  <c r="E61" i="44"/>
  <c r="F61" i="44" s="1"/>
  <c r="B61" i="44"/>
  <c r="H60" i="46"/>
  <c r="I60" i="46" s="1"/>
  <c r="I63" i="28"/>
  <c r="G61" i="13"/>
  <c r="I61" i="13" s="1"/>
  <c r="I68" i="4"/>
  <c r="I71" i="7"/>
  <c r="I68" i="3"/>
  <c r="B65" i="27"/>
  <c r="I63" i="29"/>
  <c r="I69" i="6"/>
  <c r="I64" i="27"/>
  <c r="I65" i="24"/>
  <c r="I70" i="11"/>
  <c r="E65" i="27"/>
  <c r="F65" i="27" s="1"/>
  <c r="H65" i="27" s="1"/>
  <c r="B72" i="7"/>
  <c r="B59" i="43"/>
  <c r="F59" i="43"/>
  <c r="G59" i="43" s="1"/>
  <c r="B61" i="39"/>
  <c r="F61" i="39"/>
  <c r="B69" i="3"/>
  <c r="I60" i="45"/>
  <c r="B71" i="11"/>
  <c r="B70" i="6"/>
  <c r="I66" i="23"/>
  <c r="I69" i="8"/>
  <c r="D72" i="9"/>
  <c r="B64" i="29"/>
  <c r="F64" i="29"/>
  <c r="H64" i="29" s="1"/>
  <c r="B62" i="37"/>
  <c r="F62" i="37"/>
  <c r="G62" i="37" s="1"/>
  <c r="B69" i="4"/>
  <c r="F60" i="42"/>
  <c r="G60" i="42" s="1"/>
  <c r="B60" i="42"/>
  <c r="B64" i="31"/>
  <c r="I67" i="22"/>
  <c r="I62" i="30"/>
  <c r="B60" i="41"/>
  <c r="F60" i="41"/>
  <c r="H60" i="41" s="1"/>
  <c r="I72" i="10"/>
  <c r="I73" i="10" s="1"/>
  <c r="H73" i="10"/>
  <c r="E69" i="3"/>
  <c r="F69" i="3" s="1"/>
  <c r="H69" i="3" s="1"/>
  <c r="E71" i="11"/>
  <c r="F71" i="11" s="1"/>
  <c r="H71" i="11" s="1"/>
  <c r="E70" i="6"/>
  <c r="F70" i="6" s="1"/>
  <c r="H70" i="6" s="1"/>
  <c r="F61" i="45"/>
  <c r="H61" i="45" s="1"/>
  <c r="B61" i="45"/>
  <c r="B67" i="23"/>
  <c r="B69" i="5"/>
  <c r="B70" i="8"/>
  <c r="F70" i="8"/>
  <c r="H70" i="8" s="1"/>
  <c r="I63" i="31"/>
  <c r="D62" i="13"/>
  <c r="E62" i="13" s="1"/>
  <c r="B61" i="38"/>
  <c r="F61" i="38"/>
  <c r="G61" i="38" s="1"/>
  <c r="B68" i="25"/>
  <c r="F68" i="25"/>
  <c r="H68" i="25" s="1"/>
  <c r="F68" i="22"/>
  <c r="H68" i="22" s="1"/>
  <c r="B68" i="22"/>
  <c r="E69" i="4"/>
  <c r="F69" i="4" s="1"/>
  <c r="G69" i="4" s="1"/>
  <c r="E72" i="7"/>
  <c r="E73" i="7" s="1"/>
  <c r="F63" i="30"/>
  <c r="H63" i="30" s="1"/>
  <c r="B63" i="30"/>
  <c r="D61" i="46"/>
  <c r="B60" i="40"/>
  <c r="F60" i="40"/>
  <c r="H60" i="40" s="1"/>
  <c r="F66" i="24"/>
  <c r="H66" i="24" s="1"/>
  <c r="B66" i="24"/>
  <c r="E67" i="23"/>
  <c r="F67" i="23" s="1"/>
  <c r="G67" i="23" s="1"/>
  <c r="E69" i="5"/>
  <c r="F69" i="5" s="1"/>
  <c r="H69" i="5" s="1"/>
  <c r="E64" i="31"/>
  <c r="F64" i="31" s="1"/>
  <c r="G64" i="31" s="1"/>
  <c r="B64" i="28"/>
  <c r="I142" i="13"/>
  <c r="H142" i="13"/>
  <c r="B143" i="13"/>
  <c r="F143" i="13"/>
  <c r="H64" i="31" l="1"/>
  <c r="G63" i="30"/>
  <c r="G64" i="29"/>
  <c r="H64" i="28"/>
  <c r="G65" i="27"/>
  <c r="G68" i="25"/>
  <c r="G66" i="24"/>
  <c r="H67" i="23"/>
  <c r="G68" i="22"/>
  <c r="G71" i="11"/>
  <c r="G70" i="8"/>
  <c r="G70" i="6"/>
  <c r="G69" i="5"/>
  <c r="H69" i="4"/>
  <c r="G69" i="3"/>
  <c r="H61" i="44"/>
  <c r="D62" i="44"/>
  <c r="G61" i="44"/>
  <c r="I71" i="9"/>
  <c r="G61" i="45"/>
  <c r="I61" i="45" s="1"/>
  <c r="G60" i="41"/>
  <c r="I60" i="41" s="1"/>
  <c r="H59" i="43"/>
  <c r="I59" i="43" s="1"/>
  <c r="D66" i="27"/>
  <c r="H60" i="42"/>
  <c r="I60" i="42" s="1"/>
  <c r="D72" i="11"/>
  <c r="D70" i="5"/>
  <c r="D70" i="3"/>
  <c r="D70" i="4"/>
  <c r="D68" i="23"/>
  <c r="D65" i="31"/>
  <c r="D71" i="6"/>
  <c r="D67" i="24"/>
  <c r="D64" i="30"/>
  <c r="D69" i="22"/>
  <c r="B72" i="9"/>
  <c r="D62" i="39"/>
  <c r="E62" i="39" s="1"/>
  <c r="G60" i="40"/>
  <c r="I60" i="40" s="1"/>
  <c r="B61" i="46"/>
  <c r="D69" i="25"/>
  <c r="H61" i="38"/>
  <c r="I61" i="38" s="1"/>
  <c r="D63" i="37"/>
  <c r="D65" i="28"/>
  <c r="E61" i="46"/>
  <c r="F61" i="46" s="1"/>
  <c r="D71" i="8"/>
  <c r="D62" i="45"/>
  <c r="D61" i="41"/>
  <c r="E61" i="41" s="1"/>
  <c r="G61" i="39"/>
  <c r="D60" i="43"/>
  <c r="E60" i="43" s="1"/>
  <c r="F72" i="7"/>
  <c r="D61" i="40"/>
  <c r="E61" i="40" s="1"/>
  <c r="D62" i="38"/>
  <c r="E62" i="38"/>
  <c r="F62" i="13"/>
  <c r="G62" i="13" s="1"/>
  <c r="B62" i="13"/>
  <c r="D61" i="42"/>
  <c r="E61" i="42" s="1"/>
  <c r="H62" i="37"/>
  <c r="I62" i="37" s="1"/>
  <c r="D65" i="29"/>
  <c r="E72" i="9"/>
  <c r="E73" i="9" s="1"/>
  <c r="H61" i="39"/>
  <c r="D144" i="13"/>
  <c r="G143" i="13"/>
  <c r="I61" i="44" l="1"/>
  <c r="E65" i="29"/>
  <c r="E69" i="25"/>
  <c r="F69" i="25" s="1"/>
  <c r="H69" i="25" s="1"/>
  <c r="E72" i="11"/>
  <c r="E73" i="11" s="1"/>
  <c r="H72" i="7"/>
  <c r="G72" i="7"/>
  <c r="G73" i="7" s="1"/>
  <c r="E70" i="5"/>
  <c r="F70" i="5" s="1"/>
  <c r="H70" i="5" s="1"/>
  <c r="E70" i="4"/>
  <c r="F70" i="4" s="1"/>
  <c r="H70" i="4" s="1"/>
  <c r="E70" i="3"/>
  <c r="E62" i="44"/>
  <c r="F62" i="44" s="1"/>
  <c r="B62" i="44"/>
  <c r="I66" i="24"/>
  <c r="I67" i="23"/>
  <c r="I65" i="27"/>
  <c r="I70" i="6"/>
  <c r="I63" i="30"/>
  <c r="E66" i="27"/>
  <c r="F66" i="27" s="1"/>
  <c r="H66" i="27" s="1"/>
  <c r="B66" i="27"/>
  <c r="I64" i="31"/>
  <c r="I69" i="4"/>
  <c r="I69" i="3"/>
  <c r="D62" i="46"/>
  <c r="E62" i="46" s="1"/>
  <c r="G61" i="46"/>
  <c r="H61" i="46"/>
  <c r="D63" i="13"/>
  <c r="E63" i="13" s="1"/>
  <c r="B61" i="40"/>
  <c r="F61" i="40"/>
  <c r="G61" i="40" s="1"/>
  <c r="F61" i="41"/>
  <c r="H61" i="41" s="1"/>
  <c r="B61" i="41"/>
  <c r="I70" i="8"/>
  <c r="I68" i="25"/>
  <c r="F72" i="9"/>
  <c r="I68" i="22"/>
  <c r="B68" i="23"/>
  <c r="B60" i="43"/>
  <c r="F60" i="43"/>
  <c r="H60" i="43" s="1"/>
  <c r="B62" i="45"/>
  <c r="B65" i="28"/>
  <c r="B64" i="30"/>
  <c r="B67" i="24"/>
  <c r="B71" i="6"/>
  <c r="B65" i="31"/>
  <c r="B70" i="3"/>
  <c r="F70" i="3"/>
  <c r="H70" i="3" s="1"/>
  <c r="B72" i="11"/>
  <c r="B62" i="38"/>
  <c r="F62" i="38"/>
  <c r="G62" i="38" s="1"/>
  <c r="E62" i="45"/>
  <c r="F62" i="45" s="1"/>
  <c r="B71" i="8"/>
  <c r="E65" i="28"/>
  <c r="F65" i="28" s="1"/>
  <c r="H65" i="28" s="1"/>
  <c r="B63" i="37"/>
  <c r="B69" i="22"/>
  <c r="B70" i="4"/>
  <c r="B70" i="5"/>
  <c r="F65" i="29"/>
  <c r="G65" i="29" s="1"/>
  <c r="B65" i="29"/>
  <c r="I61" i="39"/>
  <c r="I64" i="29"/>
  <c r="B61" i="42"/>
  <c r="F61" i="42"/>
  <c r="H61" i="42" s="1"/>
  <c r="H62" i="13"/>
  <c r="I62" i="13" s="1"/>
  <c r="E71" i="8"/>
  <c r="F71" i="8" s="1"/>
  <c r="G71" i="8" s="1"/>
  <c r="I64" i="28"/>
  <c r="E63" i="37"/>
  <c r="F63" i="37" s="1"/>
  <c r="B69" i="25"/>
  <c r="F62" i="39"/>
  <c r="G62" i="39" s="1"/>
  <c r="B62" i="39"/>
  <c r="E69" i="22"/>
  <c r="F69" i="22" s="1"/>
  <c r="H69" i="22" s="1"/>
  <c r="E64" i="30"/>
  <c r="F64" i="30" s="1"/>
  <c r="H64" i="30" s="1"/>
  <c r="E67" i="24"/>
  <c r="F67" i="24" s="1"/>
  <c r="G67" i="24" s="1"/>
  <c r="E71" i="6"/>
  <c r="F71" i="6" s="1"/>
  <c r="H71" i="6" s="1"/>
  <c r="E65" i="31"/>
  <c r="F65" i="31" s="1"/>
  <c r="H65" i="31" s="1"/>
  <c r="E68" i="23"/>
  <c r="F68" i="23" s="1"/>
  <c r="H68" i="23" s="1"/>
  <c r="I71" i="11"/>
  <c r="H143" i="13"/>
  <c r="I143" i="13"/>
  <c r="B144" i="13"/>
  <c r="E144" i="13"/>
  <c r="F144" i="13" s="1"/>
  <c r="F72" i="11" l="1"/>
  <c r="H72" i="11" s="1"/>
  <c r="G65" i="31"/>
  <c r="G64" i="30"/>
  <c r="H65" i="29"/>
  <c r="G65" i="28"/>
  <c r="G66" i="27"/>
  <c r="G69" i="25"/>
  <c r="I69" i="25" s="1"/>
  <c r="H67" i="24"/>
  <c r="G68" i="23"/>
  <c r="I68" i="23" s="1"/>
  <c r="G69" i="22"/>
  <c r="G72" i="11"/>
  <c r="H72" i="9"/>
  <c r="G72" i="9"/>
  <c r="G73" i="9" s="1"/>
  <c r="H71" i="8"/>
  <c r="G71" i="6"/>
  <c r="G70" i="5"/>
  <c r="G70" i="4"/>
  <c r="G70" i="3"/>
  <c r="G62" i="44"/>
  <c r="H62" i="44"/>
  <c r="D63" i="44"/>
  <c r="I61" i="46"/>
  <c r="H62" i="39"/>
  <c r="I62" i="39" s="1"/>
  <c r="H61" i="40"/>
  <c r="I61" i="40" s="1"/>
  <c r="G61" i="42"/>
  <c r="I61" i="42" s="1"/>
  <c r="D67" i="27"/>
  <c r="D70" i="22"/>
  <c r="D66" i="28"/>
  <c r="D72" i="6"/>
  <c r="D66" i="31"/>
  <c r="D68" i="24"/>
  <c r="D69" i="23"/>
  <c r="D65" i="30"/>
  <c r="D64" i="37"/>
  <c r="H63" i="37"/>
  <c r="G63" i="37"/>
  <c r="D63" i="45"/>
  <c r="E63" i="45" s="1"/>
  <c r="G62" i="45"/>
  <c r="H62" i="45"/>
  <c r="D70" i="25"/>
  <c r="D63" i="38"/>
  <c r="E63" i="38" s="1"/>
  <c r="D71" i="3"/>
  <c r="D61" i="43"/>
  <c r="E61" i="43" s="1"/>
  <c r="I72" i="7"/>
  <c r="I73" i="7" s="1"/>
  <c r="H73" i="7"/>
  <c r="D71" i="5"/>
  <c r="D62" i="41"/>
  <c r="E62" i="41" s="1"/>
  <c r="D63" i="39"/>
  <c r="E63" i="39" s="1"/>
  <c r="D62" i="42"/>
  <c r="E62" i="42" s="1"/>
  <c r="H62" i="38"/>
  <c r="I62" i="38" s="1"/>
  <c r="G73" i="11"/>
  <c r="G60" i="43"/>
  <c r="I60" i="43" s="1"/>
  <c r="G61" i="41"/>
  <c r="I61" i="41" s="1"/>
  <c r="D62" i="40"/>
  <c r="E62" i="40" s="1"/>
  <c r="D66" i="29"/>
  <c r="D71" i="4"/>
  <c r="D72" i="8"/>
  <c r="B63" i="13"/>
  <c r="F63" i="13"/>
  <c r="G63" i="13" s="1"/>
  <c r="F62" i="46"/>
  <c r="H62" i="46" s="1"/>
  <c r="B62" i="46"/>
  <c r="G144" i="13"/>
  <c r="D145" i="13"/>
  <c r="E145" i="13" s="1"/>
  <c r="I62" i="44" l="1"/>
  <c r="E66" i="31"/>
  <c r="E65" i="30"/>
  <c r="F65" i="30" s="1"/>
  <c r="H65" i="30" s="1"/>
  <c r="E66" i="29"/>
  <c r="F66" i="29" s="1"/>
  <c r="H66" i="29" s="1"/>
  <c r="E66" i="28"/>
  <c r="F66" i="28" s="1"/>
  <c r="G66" i="28" s="1"/>
  <c r="E70" i="25"/>
  <c r="E68" i="24"/>
  <c r="F68" i="24" s="1"/>
  <c r="H68" i="24" s="1"/>
  <c r="E69" i="23"/>
  <c r="F69" i="23" s="1"/>
  <c r="G69" i="23" s="1"/>
  <c r="E70" i="22"/>
  <c r="E72" i="8"/>
  <c r="E73" i="8" s="1"/>
  <c r="E72" i="6"/>
  <c r="E73" i="6" s="1"/>
  <c r="E71" i="5"/>
  <c r="F71" i="5" s="1"/>
  <c r="H71" i="5" s="1"/>
  <c r="E71" i="4"/>
  <c r="I70" i="4"/>
  <c r="E63" i="44"/>
  <c r="F63" i="44" s="1"/>
  <c r="B63" i="44"/>
  <c r="I66" i="27"/>
  <c r="G62" i="46"/>
  <c r="I62" i="46" s="1"/>
  <c r="I63" i="37"/>
  <c r="H63" i="13"/>
  <c r="I63" i="13" s="1"/>
  <c r="B67" i="27"/>
  <c r="I71" i="8"/>
  <c r="E67" i="27"/>
  <c r="F67" i="27" s="1"/>
  <c r="H67" i="27" s="1"/>
  <c r="I65" i="31"/>
  <c r="D64" i="13"/>
  <c r="E64" i="13" s="1"/>
  <c r="I65" i="29"/>
  <c r="I72" i="11"/>
  <c r="I73" i="11" s="1"/>
  <c r="H73" i="11"/>
  <c r="B62" i="41"/>
  <c r="F62" i="41"/>
  <c r="H62" i="41" s="1"/>
  <c r="I70" i="3"/>
  <c r="I62" i="45"/>
  <c r="B63" i="39"/>
  <c r="F63" i="39"/>
  <c r="H63" i="39" s="1"/>
  <c r="F61" i="43"/>
  <c r="G61" i="43" s="1"/>
  <c r="B61" i="43"/>
  <c r="B71" i="3"/>
  <c r="B68" i="24"/>
  <c r="F66" i="31"/>
  <c r="H66" i="31" s="1"/>
  <c r="B66" i="31"/>
  <c r="B72" i="6"/>
  <c r="B66" i="28"/>
  <c r="B70" i="22"/>
  <c r="F70" i="22"/>
  <c r="H70" i="22" s="1"/>
  <c r="I72" i="9"/>
  <c r="I73" i="9" s="1"/>
  <c r="H73" i="9"/>
  <c r="D63" i="46"/>
  <c r="E63" i="46" s="1"/>
  <c r="B71" i="5"/>
  <c r="E71" i="3"/>
  <c r="F71" i="3" s="1"/>
  <c r="H71" i="3" s="1"/>
  <c r="B64" i="37"/>
  <c r="B65" i="30"/>
  <c r="I67" i="24"/>
  <c r="B72" i="8"/>
  <c r="B71" i="4"/>
  <c r="F71" i="4"/>
  <c r="G71" i="4" s="1"/>
  <c r="B66" i="29"/>
  <c r="F62" i="40"/>
  <c r="H62" i="40" s="1"/>
  <c r="B62" i="40"/>
  <c r="B62" i="42"/>
  <c r="F62" i="42"/>
  <c r="H62" i="42" s="1"/>
  <c r="B63" i="38"/>
  <c r="F63" i="38"/>
  <c r="G63" i="38" s="1"/>
  <c r="F70" i="25"/>
  <c r="H70" i="25" s="1"/>
  <c r="B70" i="25"/>
  <c r="F63" i="45"/>
  <c r="H63" i="45" s="1"/>
  <c r="B63" i="45"/>
  <c r="E64" i="37"/>
  <c r="F64" i="37" s="1"/>
  <c r="H64" i="37" s="1"/>
  <c r="I64" i="30"/>
  <c r="B69" i="23"/>
  <c r="I71" i="6"/>
  <c r="I65" i="28"/>
  <c r="I69" i="22"/>
  <c r="F145" i="13"/>
  <c r="B145" i="13"/>
  <c r="H144" i="13"/>
  <c r="I144" i="13"/>
  <c r="F72" i="6" l="1"/>
  <c r="H72" i="6" s="1"/>
  <c r="F72" i="8"/>
  <c r="H72" i="8" s="1"/>
  <c r="G70" i="22"/>
  <c r="G66" i="31"/>
  <c r="G65" i="30"/>
  <c r="G66" i="29"/>
  <c r="H66" i="28"/>
  <c r="G67" i="27"/>
  <c r="G70" i="25"/>
  <c r="G68" i="24"/>
  <c r="H69" i="23"/>
  <c r="G72" i="8"/>
  <c r="G73" i="8" s="1"/>
  <c r="G72" i="6"/>
  <c r="G73" i="6" s="1"/>
  <c r="G71" i="5"/>
  <c r="H71" i="4"/>
  <c r="G71" i="3"/>
  <c r="D64" i="44"/>
  <c r="G63" i="44"/>
  <c r="H63" i="44"/>
  <c r="H63" i="38"/>
  <c r="I63" i="38" s="1"/>
  <c r="G63" i="45"/>
  <c r="I63" i="45" s="1"/>
  <c r="D68" i="27"/>
  <c r="H61" i="43"/>
  <c r="I61" i="43" s="1"/>
  <c r="D72" i="3"/>
  <c r="D70" i="23"/>
  <c r="D72" i="4"/>
  <c r="D72" i="5"/>
  <c r="G62" i="41"/>
  <c r="I62" i="41" s="1"/>
  <c r="D71" i="25"/>
  <c r="D63" i="40"/>
  <c r="E63" i="40" s="1"/>
  <c r="D65" i="37"/>
  <c r="E65" i="37" s="1"/>
  <c r="D67" i="28"/>
  <c r="D67" i="31"/>
  <c r="D62" i="43"/>
  <c r="E62" i="43" s="1"/>
  <c r="F64" i="13"/>
  <c r="H64" i="13" s="1"/>
  <c r="B64" i="13"/>
  <c r="D63" i="42"/>
  <c r="D66" i="30"/>
  <c r="D71" i="22"/>
  <c r="D64" i="39"/>
  <c r="D63" i="41"/>
  <c r="E63" i="41" s="1"/>
  <c r="D64" i="45"/>
  <c r="E64" i="45" s="1"/>
  <c r="D64" i="38"/>
  <c r="E64" i="38" s="1"/>
  <c r="G62" i="42"/>
  <c r="I62" i="42" s="1"/>
  <c r="G62" i="40"/>
  <c r="I62" i="40" s="1"/>
  <c r="D67" i="29"/>
  <c r="G64" i="37"/>
  <c r="I64" i="37" s="1"/>
  <c r="B63" i="46"/>
  <c r="F63" i="46"/>
  <c r="G63" i="46" s="1"/>
  <c r="D69" i="24"/>
  <c r="G63" i="39"/>
  <c r="I63" i="39" s="1"/>
  <c r="G145" i="13"/>
  <c r="D146" i="13"/>
  <c r="E146" i="13" s="1"/>
  <c r="B68" i="27" l="1"/>
  <c r="E69" i="24"/>
  <c r="E70" i="23"/>
  <c r="E72" i="5"/>
  <c r="E73" i="5" s="1"/>
  <c r="E72" i="4"/>
  <c r="E73" i="4" s="1"/>
  <c r="E72" i="3"/>
  <c r="E73" i="3" s="1"/>
  <c r="I63" i="44"/>
  <c r="E64" i="44"/>
  <c r="F64" i="44" s="1"/>
  <c r="B64" i="44"/>
  <c r="I66" i="28"/>
  <c r="I65" i="30"/>
  <c r="I66" i="29"/>
  <c r="I70" i="22"/>
  <c r="E68" i="27"/>
  <c r="F68" i="27" s="1"/>
  <c r="H68" i="27" s="1"/>
  <c r="I68" i="24"/>
  <c r="H63" i="46"/>
  <c r="I63" i="46" s="1"/>
  <c r="I67" i="27"/>
  <c r="I72" i="8"/>
  <c r="I73" i="8" s="1"/>
  <c r="H73" i="8"/>
  <c r="B64" i="39"/>
  <c r="B67" i="29"/>
  <c r="E64" i="39"/>
  <c r="F64" i="39" s="1"/>
  <c r="B66" i="30"/>
  <c r="B63" i="42"/>
  <c r="I66" i="31"/>
  <c r="I70" i="25"/>
  <c r="I71" i="3"/>
  <c r="I72" i="6"/>
  <c r="I73" i="6" s="1"/>
  <c r="H73" i="6"/>
  <c r="B71" i="22"/>
  <c r="B67" i="31"/>
  <c r="F69" i="24"/>
  <c r="G69" i="24" s="1"/>
  <c r="B69" i="24"/>
  <c r="E67" i="29"/>
  <c r="F67" i="29" s="1"/>
  <c r="H67" i="29" s="1"/>
  <c r="D65" i="13"/>
  <c r="E65" i="13" s="1"/>
  <c r="B62" i="43"/>
  <c r="F62" i="43"/>
  <c r="G62" i="43" s="1"/>
  <c r="B63" i="40"/>
  <c r="F63" i="40"/>
  <c r="H63" i="40" s="1"/>
  <c r="B71" i="25"/>
  <c r="B72" i="4"/>
  <c r="F72" i="4"/>
  <c r="H72" i="4" s="1"/>
  <c r="F70" i="23"/>
  <c r="H70" i="23" s="1"/>
  <c r="B70" i="23"/>
  <c r="B64" i="38"/>
  <c r="F64" i="38"/>
  <c r="H64" i="38" s="1"/>
  <c r="B67" i="28"/>
  <c r="D64" i="46"/>
  <c r="E64" i="46" s="1"/>
  <c r="F64" i="45"/>
  <c r="H64" i="45" s="1"/>
  <c r="B64" i="45"/>
  <c r="B63" i="41"/>
  <c r="F63" i="41"/>
  <c r="H63" i="41" s="1"/>
  <c r="E71" i="22"/>
  <c r="F71" i="22" s="1"/>
  <c r="H71" i="22" s="1"/>
  <c r="E66" i="30"/>
  <c r="F66" i="30" s="1"/>
  <c r="H66" i="30" s="1"/>
  <c r="E63" i="42"/>
  <c r="F63" i="42" s="1"/>
  <c r="G64" i="13"/>
  <c r="I64" i="13" s="1"/>
  <c r="E67" i="31"/>
  <c r="F67" i="31" s="1"/>
  <c r="G67" i="31" s="1"/>
  <c r="E67" i="28"/>
  <c r="F67" i="28" s="1"/>
  <c r="H67" i="28" s="1"/>
  <c r="F65" i="37"/>
  <c r="G65" i="37" s="1"/>
  <c r="B65" i="37"/>
  <c r="E71" i="25"/>
  <c r="F71" i="25" s="1"/>
  <c r="G71" i="25" s="1"/>
  <c r="B72" i="5"/>
  <c r="I71" i="4"/>
  <c r="I69" i="23"/>
  <c r="F72" i="3"/>
  <c r="H72" i="3" s="1"/>
  <c r="B72" i="3"/>
  <c r="H145" i="13"/>
  <c r="I145" i="13"/>
  <c r="B146" i="13"/>
  <c r="F146" i="13"/>
  <c r="F72" i="5" l="1"/>
  <c r="G72" i="5" s="1"/>
  <c r="H69" i="24"/>
  <c r="H67" i="31"/>
  <c r="G66" i="30"/>
  <c r="G67" i="29"/>
  <c r="G67" i="28"/>
  <c r="G68" i="27"/>
  <c r="H71" i="25"/>
  <c r="G70" i="23"/>
  <c r="G71" i="22"/>
  <c r="H72" i="5"/>
  <c r="G72" i="4"/>
  <c r="G73" i="4" s="1"/>
  <c r="G72" i="3"/>
  <c r="G73" i="3" s="1"/>
  <c r="G63" i="41"/>
  <c r="G64" i="44"/>
  <c r="D65" i="44"/>
  <c r="H64" i="44"/>
  <c r="I64" i="44" s="1"/>
  <c r="I63" i="41"/>
  <c r="D69" i="27"/>
  <c r="D64" i="42"/>
  <c r="E64" i="42" s="1"/>
  <c r="H63" i="42"/>
  <c r="G63" i="42"/>
  <c r="D67" i="30"/>
  <c r="D68" i="29"/>
  <c r="D68" i="28"/>
  <c r="D68" i="31"/>
  <c r="D65" i="39"/>
  <c r="E65" i="39" s="1"/>
  <c r="H64" i="39"/>
  <c r="G64" i="39"/>
  <c r="G73" i="5"/>
  <c r="H73" i="5"/>
  <c r="D65" i="45"/>
  <c r="D63" i="43"/>
  <c r="E63" i="43" s="1"/>
  <c r="D70" i="24"/>
  <c r="D71" i="23"/>
  <c r="D72" i="25"/>
  <c r="D66" i="37"/>
  <c r="E66" i="37" s="1"/>
  <c r="D64" i="40"/>
  <c r="E64" i="40" s="1"/>
  <c r="F65" i="13"/>
  <c r="G65" i="13" s="1"/>
  <c r="B65" i="13"/>
  <c r="D65" i="38"/>
  <c r="E65" i="38" s="1"/>
  <c r="D72" i="22"/>
  <c r="H65" i="37"/>
  <c r="I65" i="37" s="1"/>
  <c r="D64" i="41"/>
  <c r="E64" i="41" s="1"/>
  <c r="G64" i="45"/>
  <c r="I64" i="45" s="1"/>
  <c r="F64" i="46"/>
  <c r="H64" i="46" s="1"/>
  <c r="B64" i="46"/>
  <c r="G64" i="38"/>
  <c r="I64" i="38" s="1"/>
  <c r="G63" i="40"/>
  <c r="I63" i="40" s="1"/>
  <c r="H62" i="43"/>
  <c r="I62" i="43" s="1"/>
  <c r="G146" i="13"/>
  <c r="D147" i="13"/>
  <c r="E147" i="13" s="1"/>
  <c r="E67" i="30" l="1"/>
  <c r="E69" i="27"/>
  <c r="E72" i="25"/>
  <c r="E73" i="25" s="1"/>
  <c r="E70" i="24"/>
  <c r="E71" i="23"/>
  <c r="E72" i="22"/>
  <c r="E73" i="22" s="1"/>
  <c r="I67" i="29"/>
  <c r="E65" i="44"/>
  <c r="F65" i="44" s="1"/>
  <c r="B65" i="44"/>
  <c r="I68" i="27"/>
  <c r="I71" i="22"/>
  <c r="H65" i="13"/>
  <c r="I65" i="13" s="1"/>
  <c r="I66" i="30"/>
  <c r="B69" i="27"/>
  <c r="F69" i="27"/>
  <c r="H69" i="27" s="1"/>
  <c r="F64" i="41"/>
  <c r="G64" i="41" s="1"/>
  <c r="B64" i="41"/>
  <c r="F64" i="40"/>
  <c r="G64" i="40" s="1"/>
  <c r="B64" i="40"/>
  <c r="F70" i="24"/>
  <c r="G70" i="24" s="1"/>
  <c r="B70" i="24"/>
  <c r="B63" i="43"/>
  <c r="F63" i="43"/>
  <c r="H63" i="43" s="1"/>
  <c r="B65" i="39"/>
  <c r="F65" i="39"/>
  <c r="G65" i="39" s="1"/>
  <c r="I67" i="31"/>
  <c r="B68" i="28"/>
  <c r="B68" i="29"/>
  <c r="F67" i="30"/>
  <c r="H67" i="30" s="1"/>
  <c r="B67" i="30"/>
  <c r="I63" i="42"/>
  <c r="B71" i="23"/>
  <c r="F71" i="23"/>
  <c r="G71" i="23" s="1"/>
  <c r="B65" i="38"/>
  <c r="F65" i="38"/>
  <c r="G65" i="38" s="1"/>
  <c r="I71" i="25"/>
  <c r="B65" i="45"/>
  <c r="B68" i="31"/>
  <c r="I67" i="28"/>
  <c r="I72" i="3"/>
  <c r="I73" i="3" s="1"/>
  <c r="H73" i="3"/>
  <c r="D65" i="46"/>
  <c r="G64" i="46"/>
  <c r="I64" i="46" s="1"/>
  <c r="F72" i="22"/>
  <c r="H72" i="22" s="1"/>
  <c r="B72" i="22"/>
  <c r="D66" i="13"/>
  <c r="F66" i="37"/>
  <c r="H66" i="37" s="1"/>
  <c r="B66" i="37"/>
  <c r="B72" i="25"/>
  <c r="I70" i="23"/>
  <c r="I69" i="24"/>
  <c r="I72" i="4"/>
  <c r="I73" i="4" s="1"/>
  <c r="H73" i="4"/>
  <c r="E65" i="45"/>
  <c r="F65" i="45" s="1"/>
  <c r="I64" i="39"/>
  <c r="E68" i="31"/>
  <c r="F68" i="31" s="1"/>
  <c r="G68" i="31" s="1"/>
  <c r="E68" i="28"/>
  <c r="F68" i="28" s="1"/>
  <c r="H68" i="28" s="1"/>
  <c r="E68" i="29"/>
  <c r="F68" i="29" s="1"/>
  <c r="H68" i="29" s="1"/>
  <c r="F64" i="42"/>
  <c r="H64" i="42" s="1"/>
  <c r="B64" i="42"/>
  <c r="F147" i="13"/>
  <c r="B147" i="13"/>
  <c r="H146" i="13"/>
  <c r="I146" i="13"/>
  <c r="H68" i="31" l="1"/>
  <c r="G67" i="30"/>
  <c r="G68" i="29"/>
  <c r="G68" i="28"/>
  <c r="G69" i="27"/>
  <c r="F72" i="25"/>
  <c r="H72" i="25" s="1"/>
  <c r="H70" i="24"/>
  <c r="H71" i="23"/>
  <c r="G72" i="22"/>
  <c r="G66" i="37"/>
  <c r="I66" i="37" s="1"/>
  <c r="D66" i="44"/>
  <c r="H65" i="44"/>
  <c r="G65" i="44"/>
  <c r="G63" i="43"/>
  <c r="I63" i="43" s="1"/>
  <c r="H64" i="40"/>
  <c r="I64" i="40" s="1"/>
  <c r="H64" i="41"/>
  <c r="I64" i="41" s="1"/>
  <c r="D70" i="27"/>
  <c r="D69" i="29"/>
  <c r="D69" i="28"/>
  <c r="D66" i="45"/>
  <c r="H65" i="45"/>
  <c r="G65" i="45"/>
  <c r="D69" i="31"/>
  <c r="D65" i="42"/>
  <c r="E65" i="42" s="1"/>
  <c r="D67" i="37"/>
  <c r="G73" i="22"/>
  <c r="H65" i="38"/>
  <c r="I65" i="38" s="1"/>
  <c r="D66" i="39"/>
  <c r="E66" i="39" s="1"/>
  <c r="B65" i="46"/>
  <c r="G64" i="42"/>
  <c r="I64" i="42" s="1"/>
  <c r="B66" i="13"/>
  <c r="H65" i="39"/>
  <c r="I65" i="39" s="1"/>
  <c r="D64" i="43"/>
  <c r="E64" i="43" s="1"/>
  <c r="D71" i="24"/>
  <c r="D65" i="40"/>
  <c r="E65" i="40" s="1"/>
  <c r="D65" i="41"/>
  <c r="E65" i="41" s="1"/>
  <c r="E66" i="13"/>
  <c r="F66" i="13" s="1"/>
  <c r="E65" i="46"/>
  <c r="F65" i="46" s="1"/>
  <c r="D66" i="38"/>
  <c r="E66" i="38" s="1"/>
  <c r="D72" i="23"/>
  <c r="D68" i="30"/>
  <c r="D148" i="13"/>
  <c r="G147" i="13"/>
  <c r="G72" i="25" l="1"/>
  <c r="G73" i="25" s="1"/>
  <c r="E69" i="29"/>
  <c r="E69" i="28"/>
  <c r="E70" i="27"/>
  <c r="F70" i="27" s="1"/>
  <c r="G70" i="27" s="1"/>
  <c r="E71" i="24"/>
  <c r="F71" i="24" s="1"/>
  <c r="E72" i="23"/>
  <c r="E73" i="23" s="1"/>
  <c r="I65" i="44"/>
  <c r="I68" i="28"/>
  <c r="E66" i="44"/>
  <c r="F66" i="44" s="1"/>
  <c r="B66" i="44"/>
  <c r="I71" i="23"/>
  <c r="B70" i="27"/>
  <c r="I69" i="27"/>
  <c r="D66" i="46"/>
  <c r="E66" i="46" s="1"/>
  <c r="H65" i="46"/>
  <c r="G65" i="46"/>
  <c r="D67" i="13"/>
  <c r="H66" i="13"/>
  <c r="G66" i="13"/>
  <c r="B68" i="30"/>
  <c r="I67" i="30"/>
  <c r="F65" i="40"/>
  <c r="H65" i="40" s="1"/>
  <c r="B65" i="40"/>
  <c r="I70" i="24"/>
  <c r="F66" i="39"/>
  <c r="G66" i="39" s="1"/>
  <c r="B66" i="39"/>
  <c r="B67" i="37"/>
  <c r="B69" i="31"/>
  <c r="I65" i="45"/>
  <c r="F69" i="29"/>
  <c r="H69" i="29" s="1"/>
  <c r="B69" i="29"/>
  <c r="E68" i="30"/>
  <c r="F68" i="30" s="1"/>
  <c r="H68" i="30" s="1"/>
  <c r="E67" i="37"/>
  <c r="F67" i="37" s="1"/>
  <c r="B65" i="42"/>
  <c r="F65" i="42"/>
  <c r="H65" i="42" s="1"/>
  <c r="I68" i="31"/>
  <c r="B66" i="45"/>
  <c r="B72" i="23"/>
  <c r="F72" i="23"/>
  <c r="H72" i="23" s="1"/>
  <c r="I72" i="25"/>
  <c r="I73" i="25" s="1"/>
  <c r="H73" i="25"/>
  <c r="F66" i="38"/>
  <c r="H66" i="38" s="1"/>
  <c r="B66" i="38"/>
  <c r="B65" i="41"/>
  <c r="F65" i="41"/>
  <c r="G65" i="41" s="1"/>
  <c r="B71" i="24"/>
  <c r="B64" i="43"/>
  <c r="F64" i="43"/>
  <c r="G64" i="43" s="1"/>
  <c r="I72" i="22"/>
  <c r="I73" i="22" s="1"/>
  <c r="H73" i="22"/>
  <c r="E69" i="31"/>
  <c r="F69" i="31" s="1"/>
  <c r="H69" i="31" s="1"/>
  <c r="E66" i="45"/>
  <c r="F66" i="45" s="1"/>
  <c r="F69" i="28"/>
  <c r="H69" i="28" s="1"/>
  <c r="B69" i="28"/>
  <c r="I68" i="29"/>
  <c r="I147" i="13"/>
  <c r="H147" i="13"/>
  <c r="B148" i="13"/>
  <c r="E148" i="13"/>
  <c r="F148" i="13" s="1"/>
  <c r="H71" i="24" l="1"/>
  <c r="G71" i="24"/>
  <c r="G69" i="31"/>
  <c r="G68" i="30"/>
  <c r="G69" i="29"/>
  <c r="G69" i="28"/>
  <c r="H70" i="27"/>
  <c r="G72" i="23"/>
  <c r="G73" i="23" s="1"/>
  <c r="H66" i="44"/>
  <c r="D67" i="44"/>
  <c r="B67" i="44" s="1"/>
  <c r="G66" i="44"/>
  <c r="H64" i="43"/>
  <c r="I64" i="43" s="1"/>
  <c r="G66" i="38"/>
  <c r="I66" i="38" s="1"/>
  <c r="D71" i="27"/>
  <c r="D70" i="31"/>
  <c r="D69" i="30"/>
  <c r="D68" i="37"/>
  <c r="E68" i="37" s="1"/>
  <c r="H67" i="37"/>
  <c r="G67" i="37"/>
  <c r="D67" i="45"/>
  <c r="E67" i="45" s="1"/>
  <c r="D70" i="29"/>
  <c r="D66" i="42"/>
  <c r="E66" i="42" s="1"/>
  <c r="H66" i="39"/>
  <c r="I66" i="39" s="1"/>
  <c r="I66" i="13"/>
  <c r="I65" i="46"/>
  <c r="D66" i="40"/>
  <c r="E66" i="40" s="1"/>
  <c r="D65" i="43"/>
  <c r="E65" i="43" s="1"/>
  <c r="H66" i="45"/>
  <c r="G65" i="42"/>
  <c r="I65" i="42" s="1"/>
  <c r="G65" i="40"/>
  <c r="I65" i="40" s="1"/>
  <c r="B67" i="13"/>
  <c r="D70" i="28"/>
  <c r="D66" i="41"/>
  <c r="E66" i="41" s="1"/>
  <c r="D72" i="24"/>
  <c r="H65" i="41"/>
  <c r="I65" i="41" s="1"/>
  <c r="D67" i="38"/>
  <c r="G66" i="45"/>
  <c r="D67" i="39"/>
  <c r="E67" i="39" s="1"/>
  <c r="E67" i="13"/>
  <c r="F67" i="13" s="1"/>
  <c r="F66" i="46"/>
  <c r="B66" i="46"/>
  <c r="D149" i="13"/>
  <c r="G148" i="13"/>
  <c r="I66" i="44" l="1"/>
  <c r="E70" i="31"/>
  <c r="F70" i="31" s="1"/>
  <c r="H70" i="31" s="1"/>
  <c r="E70" i="29"/>
  <c r="E70" i="28"/>
  <c r="F70" i="28" s="1"/>
  <c r="G70" i="28" s="1"/>
  <c r="E72" i="24"/>
  <c r="E73" i="24" s="1"/>
  <c r="E67" i="44"/>
  <c r="F67" i="44" s="1"/>
  <c r="G67" i="44" s="1"/>
  <c r="I69" i="29"/>
  <c r="E71" i="27"/>
  <c r="F71" i="27" s="1"/>
  <c r="H71" i="27" s="1"/>
  <c r="B71" i="27"/>
  <c r="I67" i="37"/>
  <c r="I71" i="24"/>
  <c r="I70" i="27"/>
  <c r="D68" i="13"/>
  <c r="E68" i="13" s="1"/>
  <c r="G67" i="13"/>
  <c r="H67" i="13"/>
  <c r="D67" i="46"/>
  <c r="B69" i="30"/>
  <c r="H66" i="46"/>
  <c r="B72" i="24"/>
  <c r="I72" i="23"/>
  <c r="I73" i="23" s="1"/>
  <c r="H73" i="23"/>
  <c r="F66" i="40"/>
  <c r="B66" i="40"/>
  <c r="B70" i="31"/>
  <c r="B67" i="38"/>
  <c r="B70" i="28"/>
  <c r="F66" i="42"/>
  <c r="H66" i="42" s="1"/>
  <c r="B66" i="42"/>
  <c r="F67" i="45"/>
  <c r="B67" i="45"/>
  <c r="F68" i="37"/>
  <c r="H68" i="37" s="1"/>
  <c r="B68" i="37"/>
  <c r="I68" i="30"/>
  <c r="I69" i="31"/>
  <c r="G66" i="46"/>
  <c r="F67" i="39"/>
  <c r="G67" i="39" s="1"/>
  <c r="B67" i="39"/>
  <c r="E67" i="38"/>
  <c r="F67" i="38" s="1"/>
  <c r="F66" i="41"/>
  <c r="B66" i="41"/>
  <c r="I69" i="28"/>
  <c r="I66" i="45"/>
  <c r="F65" i="43"/>
  <c r="H65" i="43" s="1"/>
  <c r="B65" i="43"/>
  <c r="B70" i="29"/>
  <c r="F70" i="29"/>
  <c r="G70" i="29" s="1"/>
  <c r="E69" i="30"/>
  <c r="F69" i="30" s="1"/>
  <c r="H69" i="30" s="1"/>
  <c r="B149" i="13"/>
  <c r="E149" i="13"/>
  <c r="F149" i="13" s="1"/>
  <c r="I148" i="13"/>
  <c r="H148" i="13"/>
  <c r="G70" i="31" l="1"/>
  <c r="G69" i="30"/>
  <c r="H70" i="29"/>
  <c r="H70" i="28"/>
  <c r="G71" i="27"/>
  <c r="F72" i="24"/>
  <c r="H67" i="44"/>
  <c r="I67" i="44" s="1"/>
  <c r="D68" i="44"/>
  <c r="G66" i="42"/>
  <c r="I66" i="42" s="1"/>
  <c r="D72" i="27"/>
  <c r="I67" i="13"/>
  <c r="D70" i="30"/>
  <c r="D68" i="38"/>
  <c r="D67" i="40"/>
  <c r="E67" i="40" s="1"/>
  <c r="D71" i="29"/>
  <c r="D68" i="39"/>
  <c r="E68" i="39" s="1"/>
  <c r="G66" i="40"/>
  <c r="I66" i="46"/>
  <c r="D67" i="41"/>
  <c r="D68" i="45"/>
  <c r="E68" i="45" s="1"/>
  <c r="D66" i="43"/>
  <c r="G66" i="41"/>
  <c r="H67" i="45"/>
  <c r="D71" i="28"/>
  <c r="G67" i="38"/>
  <c r="H66" i="40"/>
  <c r="B67" i="46"/>
  <c r="D69" i="37"/>
  <c r="G65" i="43"/>
  <c r="I65" i="43" s="1"/>
  <c r="H66" i="41"/>
  <c r="H67" i="39"/>
  <c r="I67" i="39" s="1"/>
  <c r="G68" i="37"/>
  <c r="I68" i="37" s="1"/>
  <c r="G67" i="45"/>
  <c r="D67" i="42"/>
  <c r="E67" i="42" s="1"/>
  <c r="H67" i="38"/>
  <c r="D71" i="31"/>
  <c r="E67" i="46"/>
  <c r="F67" i="46" s="1"/>
  <c r="F68" i="13"/>
  <c r="H68" i="13" s="1"/>
  <c r="B68" i="13"/>
  <c r="D150" i="13"/>
  <c r="G149" i="13"/>
  <c r="G68" i="13" l="1"/>
  <c r="E71" i="31"/>
  <c r="E71" i="28"/>
  <c r="F71" i="28" s="1"/>
  <c r="H71" i="28" s="1"/>
  <c r="H72" i="24"/>
  <c r="H73" i="24" s="1"/>
  <c r="G72" i="24"/>
  <c r="G73" i="24" s="1"/>
  <c r="E68" i="44"/>
  <c r="B68" i="44"/>
  <c r="F68" i="44"/>
  <c r="I66" i="40"/>
  <c r="I69" i="30"/>
  <c r="I66" i="41"/>
  <c r="B72" i="27"/>
  <c r="E72" i="27"/>
  <c r="E73" i="27" s="1"/>
  <c r="I71" i="27"/>
  <c r="D68" i="46"/>
  <c r="E68" i="46" s="1"/>
  <c r="G67" i="46"/>
  <c r="H67" i="46"/>
  <c r="B67" i="41"/>
  <c r="B70" i="30"/>
  <c r="I68" i="13"/>
  <c r="I67" i="38"/>
  <c r="I67" i="45"/>
  <c r="F68" i="39"/>
  <c r="B68" i="39"/>
  <c r="B71" i="29"/>
  <c r="B69" i="37"/>
  <c r="B71" i="31"/>
  <c r="F71" i="31"/>
  <c r="H71" i="31" s="1"/>
  <c r="I70" i="28"/>
  <c r="B68" i="45"/>
  <c r="F68" i="45"/>
  <c r="H68" i="45" s="1"/>
  <c r="E71" i="29"/>
  <c r="F71" i="29" s="1"/>
  <c r="H71" i="29" s="1"/>
  <c r="B67" i="40"/>
  <c r="F67" i="40"/>
  <c r="H67" i="40" s="1"/>
  <c r="E70" i="30"/>
  <c r="F70" i="30" s="1"/>
  <c r="H70" i="30" s="1"/>
  <c r="B66" i="43"/>
  <c r="B68" i="38"/>
  <c r="D69" i="13"/>
  <c r="E69" i="13" s="1"/>
  <c r="I70" i="31"/>
  <c r="B67" i="42"/>
  <c r="F67" i="42"/>
  <c r="H67" i="42" s="1"/>
  <c r="E69" i="37"/>
  <c r="F69" i="37" s="1"/>
  <c r="B71" i="28"/>
  <c r="E66" i="43"/>
  <c r="F66" i="43" s="1"/>
  <c r="E67" i="41"/>
  <c r="F67" i="41" s="1"/>
  <c r="I70" i="29"/>
  <c r="E68" i="38"/>
  <c r="F68" i="38" s="1"/>
  <c r="B150" i="13"/>
  <c r="H149" i="13"/>
  <c r="I149" i="13"/>
  <c r="E150" i="13"/>
  <c r="F150" i="13" s="1"/>
  <c r="G71" i="31" l="1"/>
  <c r="G70" i="30"/>
  <c r="G71" i="29"/>
  <c r="G71" i="28"/>
  <c r="I72" i="24"/>
  <c r="I73" i="24" s="1"/>
  <c r="H68" i="44"/>
  <c r="G68" i="44"/>
  <c r="I68" i="44" s="1"/>
  <c r="D69" i="44"/>
  <c r="I67" i="46"/>
  <c r="G68" i="45"/>
  <c r="I68" i="45" s="1"/>
  <c r="F72" i="27"/>
  <c r="D71" i="30"/>
  <c r="D67" i="43"/>
  <c r="E67" i="43" s="1"/>
  <c r="H66" i="43"/>
  <c r="G66" i="43"/>
  <c r="D72" i="29"/>
  <c r="E72" i="29" s="1"/>
  <c r="E73" i="29" s="1"/>
  <c r="D69" i="38"/>
  <c r="E69" i="38" s="1"/>
  <c r="H68" i="38"/>
  <c r="G68" i="38"/>
  <c r="D68" i="41"/>
  <c r="E68" i="41" s="1"/>
  <c r="G67" i="41"/>
  <c r="H67" i="41"/>
  <c r="D70" i="37"/>
  <c r="E70" i="37" s="1"/>
  <c r="G69" i="37"/>
  <c r="H69" i="37"/>
  <c r="D68" i="40"/>
  <c r="E68" i="40" s="1"/>
  <c r="D69" i="39"/>
  <c r="D72" i="28"/>
  <c r="D68" i="42"/>
  <c r="E68" i="42" s="1"/>
  <c r="G68" i="39"/>
  <c r="G67" i="42"/>
  <c r="I67" i="42" s="1"/>
  <c r="B69" i="13"/>
  <c r="F69" i="13"/>
  <c r="G69" i="13" s="1"/>
  <c r="G67" i="40"/>
  <c r="I67" i="40" s="1"/>
  <c r="D69" i="45"/>
  <c r="D72" i="31"/>
  <c r="H68" i="39"/>
  <c r="F68" i="46"/>
  <c r="H68" i="46" s="1"/>
  <c r="B68" i="46"/>
  <c r="G150" i="13"/>
  <c r="D151" i="13"/>
  <c r="E72" i="31" l="1"/>
  <c r="E73" i="31" s="1"/>
  <c r="E71" i="30"/>
  <c r="F71" i="30" s="1"/>
  <c r="H71" i="30" s="1"/>
  <c r="H72" i="27"/>
  <c r="G72" i="27"/>
  <c r="G73" i="27" s="1"/>
  <c r="I67" i="41"/>
  <c r="E69" i="44"/>
  <c r="F69" i="44" s="1"/>
  <c r="B69" i="44"/>
  <c r="I68" i="39"/>
  <c r="I70" i="30"/>
  <c r="I69" i="37"/>
  <c r="H69" i="13"/>
  <c r="I69" i="13" s="1"/>
  <c r="I71" i="28"/>
  <c r="B69" i="45"/>
  <c r="B69" i="39"/>
  <c r="G68" i="46"/>
  <c r="I68" i="46" s="1"/>
  <c r="I68" i="38"/>
  <c r="I66" i="43"/>
  <c r="B71" i="30"/>
  <c r="I71" i="31"/>
  <c r="F68" i="42"/>
  <c r="H68" i="42" s="1"/>
  <c r="B68" i="42"/>
  <c r="B68" i="40"/>
  <c r="F68" i="40"/>
  <c r="H68" i="40" s="1"/>
  <c r="I71" i="29"/>
  <c r="B72" i="28"/>
  <c r="D69" i="46"/>
  <c r="E69" i="46" s="1"/>
  <c r="F72" i="31"/>
  <c r="G72" i="31" s="1"/>
  <c r="G73" i="31" s="1"/>
  <c r="B72" i="31"/>
  <c r="E69" i="45"/>
  <c r="F69" i="45" s="1"/>
  <c r="D70" i="13"/>
  <c r="E72" i="28"/>
  <c r="E73" i="28" s="1"/>
  <c r="E69" i="39"/>
  <c r="F69" i="39" s="1"/>
  <c r="B70" i="37"/>
  <c r="F70" i="37"/>
  <c r="G70" i="37" s="1"/>
  <c r="B68" i="41"/>
  <c r="F68" i="41"/>
  <c r="H68" i="41" s="1"/>
  <c r="B69" i="38"/>
  <c r="F69" i="38"/>
  <c r="F72" i="29"/>
  <c r="B72" i="29"/>
  <c r="B67" i="43"/>
  <c r="F67" i="43"/>
  <c r="H67" i="43" s="1"/>
  <c r="B151" i="13"/>
  <c r="H150" i="13"/>
  <c r="I150" i="13"/>
  <c r="E151" i="13"/>
  <c r="F151" i="13" s="1"/>
  <c r="H72" i="31" l="1"/>
  <c r="G71" i="30"/>
  <c r="H72" i="29"/>
  <c r="G72" i="29"/>
  <c r="G73" i="29" s="1"/>
  <c r="H69" i="44"/>
  <c r="D70" i="44"/>
  <c r="G69" i="44"/>
  <c r="I69" i="44" s="1"/>
  <c r="H70" i="37"/>
  <c r="I70" i="37" s="1"/>
  <c r="G68" i="40"/>
  <c r="G67" i="43"/>
  <c r="I67" i="43" s="1"/>
  <c r="H73" i="27"/>
  <c r="I72" i="27"/>
  <c r="I73" i="27" s="1"/>
  <c r="G68" i="42"/>
  <c r="I68" i="42" s="1"/>
  <c r="D70" i="45"/>
  <c r="E70" i="45" s="1"/>
  <c r="H69" i="45"/>
  <c r="G69" i="45"/>
  <c r="D70" i="39"/>
  <c r="E70" i="39" s="1"/>
  <c r="G69" i="39"/>
  <c r="H69" i="39"/>
  <c r="D69" i="41"/>
  <c r="I68" i="40"/>
  <c r="D70" i="38"/>
  <c r="E70" i="38" s="1"/>
  <c r="D68" i="43"/>
  <c r="E68" i="43" s="1"/>
  <c r="H69" i="38"/>
  <c r="G68" i="41"/>
  <c r="I68" i="41" s="1"/>
  <c r="D71" i="37"/>
  <c r="E71" i="37" s="1"/>
  <c r="B70" i="13"/>
  <c r="F72" i="28"/>
  <c r="D69" i="40"/>
  <c r="E69" i="40" s="1"/>
  <c r="G69" i="38"/>
  <c r="E70" i="13"/>
  <c r="F70" i="13" s="1"/>
  <c r="B69" i="46"/>
  <c r="F69" i="46"/>
  <c r="G69" i="46" s="1"/>
  <c r="D69" i="42"/>
  <c r="E69" i="42" s="1"/>
  <c r="D72" i="30"/>
  <c r="D152" i="13"/>
  <c r="G151" i="13"/>
  <c r="E72" i="30" l="1"/>
  <c r="E73" i="30" s="1"/>
  <c r="H72" i="28"/>
  <c r="G72" i="28"/>
  <c r="E70" i="44"/>
  <c r="F70" i="44" s="1"/>
  <c r="B70" i="44"/>
  <c r="I69" i="39"/>
  <c r="H69" i="46"/>
  <c r="I69" i="46" s="1"/>
  <c r="D71" i="13"/>
  <c r="G70" i="13"/>
  <c r="H70" i="13"/>
  <c r="I71" i="30"/>
  <c r="I72" i="31"/>
  <c r="I73" i="31" s="1"/>
  <c r="H73" i="31"/>
  <c r="I69" i="38"/>
  <c r="F70" i="38"/>
  <c r="H70" i="38" s="1"/>
  <c r="B70" i="38"/>
  <c r="I69" i="45"/>
  <c r="B69" i="41"/>
  <c r="D70" i="46"/>
  <c r="E70" i="46" s="1"/>
  <c r="I72" i="29"/>
  <c r="I73" i="29" s="1"/>
  <c r="H73" i="29"/>
  <c r="B69" i="40"/>
  <c r="F69" i="40"/>
  <c r="B72" i="30"/>
  <c r="F72" i="30"/>
  <c r="H72" i="30" s="1"/>
  <c r="F69" i="42"/>
  <c r="G69" i="42" s="1"/>
  <c r="B69" i="42"/>
  <c r="G73" i="28"/>
  <c r="B71" i="37"/>
  <c r="F71" i="37"/>
  <c r="G71" i="37" s="1"/>
  <c r="B68" i="43"/>
  <c r="F68" i="43"/>
  <c r="G68" i="43" s="1"/>
  <c r="E69" i="41"/>
  <c r="F69" i="41" s="1"/>
  <c r="B70" i="39"/>
  <c r="F70" i="39"/>
  <c r="G70" i="39" s="1"/>
  <c r="F70" i="45"/>
  <c r="H70" i="45" s="1"/>
  <c r="B70" i="45"/>
  <c r="B152" i="13"/>
  <c r="H151" i="13"/>
  <c r="I151" i="13"/>
  <c r="E152" i="13"/>
  <c r="F152" i="13" s="1"/>
  <c r="G72" i="30" l="1"/>
  <c r="G73" i="30" s="1"/>
  <c r="G70" i="38"/>
  <c r="H70" i="44"/>
  <c r="D71" i="44"/>
  <c r="G70" i="44"/>
  <c r="I70" i="13"/>
  <c r="H70" i="39"/>
  <c r="I70" i="39" s="1"/>
  <c r="I70" i="38"/>
  <c r="H68" i="43"/>
  <c r="I68" i="43" s="1"/>
  <c r="H71" i="37"/>
  <c r="D71" i="45"/>
  <c r="E71" i="45" s="1"/>
  <c r="I72" i="28"/>
  <c r="I73" i="28" s="1"/>
  <c r="H73" i="28"/>
  <c r="D70" i="40"/>
  <c r="E70" i="40" s="1"/>
  <c r="D70" i="41"/>
  <c r="E70" i="41" s="1"/>
  <c r="I71" i="37"/>
  <c r="G69" i="40"/>
  <c r="B70" i="46"/>
  <c r="F70" i="46"/>
  <c r="H70" i="46" s="1"/>
  <c r="G69" i="41"/>
  <c r="B71" i="13"/>
  <c r="D70" i="42"/>
  <c r="G70" i="45"/>
  <c r="I70" i="45" s="1"/>
  <c r="D71" i="39"/>
  <c r="E71" i="39" s="1"/>
  <c r="D69" i="43"/>
  <c r="E69" i="43" s="1"/>
  <c r="D72" i="37"/>
  <c r="H69" i="42"/>
  <c r="I69" i="42" s="1"/>
  <c r="H69" i="40"/>
  <c r="H69" i="41"/>
  <c r="D71" i="38"/>
  <c r="E71" i="38" s="1"/>
  <c r="E71" i="13"/>
  <c r="F71" i="13" s="1"/>
  <c r="D153" i="13"/>
  <c r="E153" i="13" s="1"/>
  <c r="G152" i="13"/>
  <c r="I70" i="44" l="1"/>
  <c r="E71" i="44"/>
  <c r="F71" i="44" s="1"/>
  <c r="B71" i="44"/>
  <c r="I69" i="41"/>
  <c r="I69" i="40"/>
  <c r="G70" i="46"/>
  <c r="I70" i="46" s="1"/>
  <c r="D72" i="13"/>
  <c r="G71" i="13"/>
  <c r="H71" i="13"/>
  <c r="F71" i="39"/>
  <c r="G71" i="39" s="1"/>
  <c r="B71" i="39"/>
  <c r="F70" i="41"/>
  <c r="H70" i="41" s="1"/>
  <c r="B70" i="41"/>
  <c r="B70" i="42"/>
  <c r="B69" i="43"/>
  <c r="F69" i="43"/>
  <c r="H69" i="43" s="1"/>
  <c r="F71" i="45"/>
  <c r="B71" i="45"/>
  <c r="B72" i="37"/>
  <c r="I72" i="30"/>
  <c r="I73" i="30" s="1"/>
  <c r="H73" i="30"/>
  <c r="F71" i="38"/>
  <c r="H71" i="38" s="1"/>
  <c r="B71" i="38"/>
  <c r="E72" i="37"/>
  <c r="E73" i="37" s="1"/>
  <c r="E70" i="42"/>
  <c r="F70" i="42" s="1"/>
  <c r="G70" i="42" s="1"/>
  <c r="D71" i="46"/>
  <c r="F70" i="40"/>
  <c r="G70" i="40" s="1"/>
  <c r="B70" i="40"/>
  <c r="I152" i="13"/>
  <c r="H152" i="13"/>
  <c r="B153" i="13"/>
  <c r="F153" i="13"/>
  <c r="G70" i="41" l="1"/>
  <c r="I70" i="41" s="1"/>
  <c r="H71" i="44"/>
  <c r="D72" i="44"/>
  <c r="G71" i="44"/>
  <c r="I71" i="44" s="1"/>
  <c r="H71" i="39"/>
  <c r="I71" i="39" s="1"/>
  <c r="I71" i="13"/>
  <c r="H70" i="40"/>
  <c r="I70" i="40" s="1"/>
  <c r="G69" i="43"/>
  <c r="I69" i="43" s="1"/>
  <c r="D72" i="45"/>
  <c r="E72" i="45" s="1"/>
  <c r="E73" i="45" s="1"/>
  <c r="B71" i="46"/>
  <c r="F72" i="37"/>
  <c r="G71" i="45"/>
  <c r="D72" i="38"/>
  <c r="E72" i="38" s="1"/>
  <c r="E73" i="38" s="1"/>
  <c r="D71" i="42"/>
  <c r="E71" i="42" s="1"/>
  <c r="E71" i="46"/>
  <c r="F71" i="46" s="1"/>
  <c r="H71" i="45"/>
  <c r="D70" i="43"/>
  <c r="E70" i="43" s="1"/>
  <c r="B72" i="13"/>
  <c r="D71" i="40"/>
  <c r="G71" i="38"/>
  <c r="I71" i="38" s="1"/>
  <c r="H70" i="42"/>
  <c r="I70" i="42" s="1"/>
  <c r="D71" i="41"/>
  <c r="D72" i="39"/>
  <c r="E72" i="39" s="1"/>
  <c r="E73" i="39" s="1"/>
  <c r="E72" i="13"/>
  <c r="E73" i="13" s="1"/>
  <c r="D154" i="13"/>
  <c r="E154" i="13" s="1"/>
  <c r="E155" i="13" s="1"/>
  <c r="G153" i="13"/>
  <c r="E72" i="44" l="1"/>
  <c r="E73" i="44" s="1"/>
  <c r="B72" i="44"/>
  <c r="I71" i="45"/>
  <c r="B71" i="40"/>
  <c r="D72" i="46"/>
  <c r="F72" i="38"/>
  <c r="H72" i="38" s="1"/>
  <c r="B72" i="38"/>
  <c r="H71" i="46"/>
  <c r="B71" i="41"/>
  <c r="H72" i="37"/>
  <c r="G72" i="37"/>
  <c r="G73" i="37" s="1"/>
  <c r="B72" i="39"/>
  <c r="F72" i="39"/>
  <c r="G72" i="39" s="1"/>
  <c r="G73" i="39" s="1"/>
  <c r="F72" i="13"/>
  <c r="F72" i="45"/>
  <c r="H72" i="45" s="1"/>
  <c r="B72" i="45"/>
  <c r="E71" i="41"/>
  <c r="F71" i="41" s="1"/>
  <c r="E71" i="40"/>
  <c r="F71" i="40" s="1"/>
  <c r="F70" i="43"/>
  <c r="H70" i="43" s="1"/>
  <c r="B70" i="43"/>
  <c r="F71" i="42"/>
  <c r="G71" i="42" s="1"/>
  <c r="B71" i="42"/>
  <c r="G71" i="46"/>
  <c r="I153" i="13"/>
  <c r="H153" i="13"/>
  <c r="F154" i="13"/>
  <c r="G154" i="13" s="1"/>
  <c r="B154" i="13"/>
  <c r="F72" i="44" l="1"/>
  <c r="G72" i="44" s="1"/>
  <c r="G73" i="44" s="1"/>
  <c r="G72" i="45"/>
  <c r="G73" i="45" s="1"/>
  <c r="H71" i="42"/>
  <c r="I71" i="42" s="1"/>
  <c r="G70" i="43"/>
  <c r="I70" i="43" s="1"/>
  <c r="H72" i="39"/>
  <c r="I72" i="39" s="1"/>
  <c r="I73" i="39" s="1"/>
  <c r="D72" i="40"/>
  <c r="E72" i="40" s="1"/>
  <c r="E73" i="40" s="1"/>
  <c r="G71" i="40"/>
  <c r="H71" i="40"/>
  <c r="D72" i="41"/>
  <c r="E72" i="41" s="1"/>
  <c r="E73" i="41" s="1"/>
  <c r="H71" i="41"/>
  <c r="G71" i="41"/>
  <c r="H73" i="38"/>
  <c r="D72" i="42"/>
  <c r="E72" i="42" s="1"/>
  <c r="E73" i="42" s="1"/>
  <c r="D71" i="43"/>
  <c r="E71" i="43" s="1"/>
  <c r="I71" i="46"/>
  <c r="G72" i="38"/>
  <c r="G73" i="38" s="1"/>
  <c r="H73" i="45"/>
  <c r="I72" i="37"/>
  <c r="I73" i="37" s="1"/>
  <c r="H73" i="37"/>
  <c r="H72" i="13"/>
  <c r="G72" i="13"/>
  <c r="G73" i="13" s="1"/>
  <c r="B72" i="46"/>
  <c r="E72" i="46"/>
  <c r="E73" i="46" s="1"/>
  <c r="H154" i="13"/>
  <c r="H155" i="13" s="1"/>
  <c r="I154" i="13"/>
  <c r="I155" i="13" s="1"/>
  <c r="I72" i="45" l="1"/>
  <c r="I73" i="45" s="1"/>
  <c r="H72" i="44"/>
  <c r="H73" i="44" s="1"/>
  <c r="H73" i="39"/>
  <c r="I72" i="44"/>
  <c r="I73" i="44" s="1"/>
  <c r="F72" i="46"/>
  <c r="G72" i="46" s="1"/>
  <c r="G73" i="46" s="1"/>
  <c r="I71" i="40"/>
  <c r="F71" i="43"/>
  <c r="H71" i="43" s="1"/>
  <c r="B71" i="43"/>
  <c r="I71" i="41"/>
  <c r="I72" i="13"/>
  <c r="I73" i="13" s="1"/>
  <c r="H73" i="13"/>
  <c r="F72" i="42"/>
  <c r="H72" i="42" s="1"/>
  <c r="B72" i="42"/>
  <c r="I72" i="38"/>
  <c r="I73" i="38" s="1"/>
  <c r="B72" i="41"/>
  <c r="F72" i="41"/>
  <c r="H72" i="41" s="1"/>
  <c r="B72" i="40"/>
  <c r="F72" i="40"/>
  <c r="H72" i="40" s="1"/>
  <c r="H72" i="46" l="1"/>
  <c r="H73" i="46" s="1"/>
  <c r="G71" i="43"/>
  <c r="G72" i="40"/>
  <c r="G73" i="40" s="1"/>
  <c r="G72" i="41"/>
  <c r="G73" i="41" s="1"/>
  <c r="G72" i="42"/>
  <c r="G73" i="42" s="1"/>
  <c r="I71" i="43"/>
  <c r="H73" i="42"/>
  <c r="H73" i="41"/>
  <c r="H73" i="40"/>
  <c r="D72" i="43"/>
  <c r="E72" i="43" s="1"/>
  <c r="E73" i="43" s="1"/>
  <c r="I72" i="46" l="1"/>
  <c r="I73" i="46" s="1"/>
  <c r="I72" i="41"/>
  <c r="I73" i="41" s="1"/>
  <c r="I72" i="40"/>
  <c r="I73" i="40" s="1"/>
  <c r="I72" i="42"/>
  <c r="I73" i="42" s="1"/>
  <c r="F72" i="43"/>
  <c r="G72" i="43" s="1"/>
  <c r="G73" i="43" s="1"/>
  <c r="B72" i="43"/>
  <c r="F90" i="2"/>
  <c r="F91" i="2" s="1"/>
  <c r="F92" i="2" s="1"/>
  <c r="F93" i="2" s="1"/>
  <c r="H72" i="43" l="1"/>
  <c r="I72" i="43" s="1"/>
  <c r="I73" i="43" s="1"/>
  <c r="H73" i="43"/>
  <c r="D95" i="44"/>
  <c r="J96" i="44" s="1"/>
  <c r="D95" i="13"/>
  <c r="D95" i="38"/>
  <c r="J96" i="38" s="1"/>
  <c r="D95" i="45"/>
  <c r="J96" i="45" s="1"/>
  <c r="D95" i="46"/>
  <c r="J96" i="46" s="1"/>
  <c r="D95" i="42"/>
  <c r="J96" i="42" s="1"/>
  <c r="D95" i="41"/>
  <c r="J96" i="41" s="1"/>
  <c r="D95" i="11"/>
  <c r="J96" i="11" s="1"/>
  <c r="D95" i="25"/>
  <c r="J96" i="25" s="1"/>
  <c r="D95" i="23"/>
  <c r="J96" i="23" s="1"/>
  <c r="D95" i="9"/>
  <c r="J96" i="9" s="1"/>
  <c r="D95" i="7"/>
  <c r="J96" i="7" s="1"/>
  <c r="D95" i="24"/>
  <c r="J96" i="24" s="1"/>
  <c r="D95" i="6"/>
  <c r="J96" i="6" s="1"/>
  <c r="D95" i="29"/>
  <c r="J96" i="29" s="1"/>
  <c r="D95" i="22"/>
  <c r="J96" i="22" s="1"/>
  <c r="D95" i="10"/>
  <c r="J96" i="10" s="1"/>
  <c r="D95" i="40"/>
  <c r="J96" i="40" s="1"/>
  <c r="D95" i="28"/>
  <c r="J96" i="28" s="1"/>
  <c r="D95" i="43"/>
  <c r="J96" i="43" s="1"/>
  <c r="D95" i="27"/>
  <c r="J96" i="27" s="1"/>
  <c r="D95" i="3"/>
  <c r="J96" i="3" s="1"/>
  <c r="D95" i="31"/>
  <c r="J96" i="31" s="1"/>
  <c r="D95" i="8"/>
  <c r="J96" i="8" s="1"/>
  <c r="D95" i="5"/>
  <c r="J96" i="5" s="1"/>
  <c r="D95" i="4"/>
  <c r="J96" i="4" s="1"/>
  <c r="D95" i="37"/>
  <c r="J96" i="37" s="1"/>
  <c r="D95" i="39"/>
  <c r="J96" i="39" s="1"/>
  <c r="D95" i="30"/>
  <c r="J96" i="30" s="1"/>
  <c r="E99" i="46" l="1"/>
  <c r="F99" i="46" s="1"/>
  <c r="E100" i="46" s="1"/>
  <c r="N100" i="38"/>
  <c r="O100" i="38" s="1"/>
  <c r="L100" i="38"/>
  <c r="M100" i="38" s="1"/>
  <c r="E100" i="44"/>
  <c r="F100" i="44" s="1"/>
  <c r="H100" i="44" s="1"/>
  <c r="E100" i="45"/>
  <c r="F100" i="45" s="1"/>
  <c r="B100" i="42"/>
  <c r="B100" i="43"/>
  <c r="B100" i="41"/>
  <c r="D100" i="46" l="1"/>
  <c r="B100" i="46" s="1"/>
  <c r="G99" i="46"/>
  <c r="E101" i="45"/>
  <c r="H100" i="45"/>
  <c r="P100" i="38"/>
  <c r="D101" i="45"/>
  <c r="G100" i="45"/>
  <c r="I100" i="45" s="1"/>
  <c r="G100" i="44"/>
  <c r="I100" i="44" s="1"/>
  <c r="D101" i="44"/>
  <c r="J99" i="41"/>
  <c r="J99" i="43"/>
  <c r="D101" i="38"/>
  <c r="D101" i="41"/>
  <c r="D101" i="42"/>
  <c r="H99" i="46" l="1"/>
  <c r="M88" i="46" s="1"/>
  <c r="M89" i="46" s="1"/>
  <c r="I99" i="46"/>
  <c r="F100" i="46"/>
  <c r="B101" i="45"/>
  <c r="J100" i="45"/>
  <c r="E101" i="44"/>
  <c r="F101" i="44" s="1"/>
  <c r="H101" i="44" s="1"/>
  <c r="B101" i="44"/>
  <c r="F101" i="45"/>
  <c r="H101" i="45" s="1"/>
  <c r="J99" i="42"/>
  <c r="E101" i="41"/>
  <c r="F101" i="41" s="1"/>
  <c r="H101" i="41" s="1"/>
  <c r="M88" i="41" s="1"/>
  <c r="M89" i="41" s="1"/>
  <c r="B101" i="41"/>
  <c r="E101" i="42"/>
  <c r="F101" i="42" s="1"/>
  <c r="H101" i="42" s="1"/>
  <c r="M88" i="42" s="1"/>
  <c r="M89" i="42" s="1"/>
  <c r="B101" i="42"/>
  <c r="E101" i="38"/>
  <c r="F101" i="38" s="1"/>
  <c r="H101" i="38" s="1"/>
  <c r="M88" i="38" s="1"/>
  <c r="M89" i="38" s="1"/>
  <c r="B101" i="38"/>
  <c r="D101" i="43"/>
  <c r="E101" i="43"/>
  <c r="I37" i="17"/>
  <c r="I45" i="17"/>
  <c r="I40" i="17"/>
  <c r="I41" i="17"/>
  <c r="V45" i="17" l="1"/>
  <c r="H100" i="46"/>
  <c r="D101" i="46"/>
  <c r="B101" i="46" s="1"/>
  <c r="G100" i="46"/>
  <c r="I100" i="46" s="1"/>
  <c r="E101" i="46"/>
  <c r="J99" i="46"/>
  <c r="N88" i="46"/>
  <c r="G101" i="45"/>
  <c r="I101" i="45" s="1"/>
  <c r="D102" i="45"/>
  <c r="E102" i="45"/>
  <c r="G101" i="44"/>
  <c r="I101" i="44" s="1"/>
  <c r="D102" i="44"/>
  <c r="E102" i="44"/>
  <c r="J100" i="44"/>
  <c r="J100" i="38"/>
  <c r="D102" i="41"/>
  <c r="G101" i="41"/>
  <c r="I101" i="41" s="1"/>
  <c r="N88" i="41" s="1"/>
  <c r="N89" i="41" s="1"/>
  <c r="D102" i="42"/>
  <c r="G101" i="42"/>
  <c r="I101" i="42" s="1"/>
  <c r="N88" i="42" s="1"/>
  <c r="O88" i="42" s="1"/>
  <c r="O89" i="42" s="1"/>
  <c r="J100" i="42"/>
  <c r="G101" i="38"/>
  <c r="I101" i="38" s="1"/>
  <c r="N88" i="38" s="1"/>
  <c r="D102" i="38"/>
  <c r="J100" i="41"/>
  <c r="B106" i="24"/>
  <c r="B101" i="37"/>
  <c r="B111" i="11"/>
  <c r="B107" i="23"/>
  <c r="B104" i="31"/>
  <c r="B100" i="40"/>
  <c r="B109" i="5"/>
  <c r="B105" i="27"/>
  <c r="B108" i="22"/>
  <c r="B109" i="3"/>
  <c r="B104" i="29"/>
  <c r="B110" i="8"/>
  <c r="B101" i="39"/>
  <c r="B103" i="30"/>
  <c r="B110" i="6"/>
  <c r="B101" i="43"/>
  <c r="F101" i="43"/>
  <c r="H101" i="43" s="1"/>
  <c r="M88" i="43" s="1"/>
  <c r="M89" i="43" s="1"/>
  <c r="B109" i="4"/>
  <c r="B111" i="9"/>
  <c r="B104" i="28"/>
  <c r="B108" i="25"/>
  <c r="B112" i="10"/>
  <c r="B112" i="7"/>
  <c r="I42" i="17"/>
  <c r="F101" i="46" l="1"/>
  <c r="O88" i="41"/>
  <c r="O89" i="41" s="1"/>
  <c r="N89" i="42"/>
  <c r="J100" i="46"/>
  <c r="N89" i="46"/>
  <c r="O88" i="46"/>
  <c r="O89" i="46" s="1"/>
  <c r="H101" i="46"/>
  <c r="D102" i="46"/>
  <c r="B102" i="46" s="1"/>
  <c r="G101" i="46"/>
  <c r="I101" i="46" s="1"/>
  <c r="E102" i="46"/>
  <c r="B102" i="45"/>
  <c r="F102" i="45"/>
  <c r="G102" i="45" s="1"/>
  <c r="I102" i="45" s="1"/>
  <c r="B102" i="44"/>
  <c r="F102" i="44"/>
  <c r="H102" i="44" s="1"/>
  <c r="N89" i="38"/>
  <c r="O88" i="38"/>
  <c r="O89" i="38" s="1"/>
  <c r="E102" i="38"/>
  <c r="F102" i="38" s="1"/>
  <c r="H102" i="38" s="1"/>
  <c r="B102" i="38"/>
  <c r="E102" i="42"/>
  <c r="F102" i="42" s="1"/>
  <c r="H102" i="42" s="1"/>
  <c r="B102" i="42"/>
  <c r="E102" i="41"/>
  <c r="F102" i="41" s="1"/>
  <c r="H102" i="41" s="1"/>
  <c r="B102" i="41"/>
  <c r="J100" i="43"/>
  <c r="D113" i="7"/>
  <c r="E113" i="7"/>
  <c r="J102" i="30"/>
  <c r="D112" i="9"/>
  <c r="E112" i="9"/>
  <c r="G101" i="43"/>
  <c r="I101" i="43" s="1"/>
  <c r="N88" i="43" s="1"/>
  <c r="N89" i="43" s="1"/>
  <c r="D102" i="43"/>
  <c r="E102" i="43"/>
  <c r="J103" i="29"/>
  <c r="J108" i="3"/>
  <c r="D111" i="8"/>
  <c r="E111" i="8"/>
  <c r="D110" i="3"/>
  <c r="E110" i="3"/>
  <c r="J100" i="37"/>
  <c r="D108" i="23"/>
  <c r="E108" i="23"/>
  <c r="J107" i="25"/>
  <c r="J103" i="28"/>
  <c r="J99" i="40"/>
  <c r="D113" i="10"/>
  <c r="E113" i="10"/>
  <c r="J100" i="39"/>
  <c r="D110" i="4"/>
  <c r="E110" i="4"/>
  <c r="D111" i="6"/>
  <c r="E111" i="6"/>
  <c r="J107" i="22"/>
  <c r="D109" i="22"/>
  <c r="E109" i="22"/>
  <c r="D110" i="5"/>
  <c r="E110" i="5"/>
  <c r="D112" i="11"/>
  <c r="E112" i="11"/>
  <c r="D109" i="25"/>
  <c r="E109" i="25"/>
  <c r="J109" i="8"/>
  <c r="D104" i="30"/>
  <c r="E104" i="30"/>
  <c r="J103" i="31"/>
  <c r="D106" i="27"/>
  <c r="E106" i="27"/>
  <c r="J111" i="7"/>
  <c r="J111" i="10"/>
  <c r="D102" i="37"/>
  <c r="E102" i="37"/>
  <c r="J110" i="9"/>
  <c r="D107" i="24"/>
  <c r="E107" i="24"/>
  <c r="J109" i="6"/>
  <c r="D105" i="28"/>
  <c r="E105" i="28"/>
  <c r="J105" i="24"/>
  <c r="D102" i="39"/>
  <c r="E102" i="39"/>
  <c r="J104" i="27"/>
  <c r="D105" i="29"/>
  <c r="E105" i="29"/>
  <c r="J106" i="23"/>
  <c r="J110" i="11"/>
  <c r="D101" i="40"/>
  <c r="E101" i="40"/>
  <c r="D105" i="31"/>
  <c r="E105" i="31"/>
  <c r="J108" i="5"/>
  <c r="J108" i="4"/>
  <c r="F102" i="46" l="1"/>
  <c r="E103" i="46" s="1"/>
  <c r="O88" i="43"/>
  <c r="O89" i="43" s="1"/>
  <c r="D103" i="46"/>
  <c r="B103" i="46" s="1"/>
  <c r="G102" i="46"/>
  <c r="I102" i="46" s="1"/>
  <c r="J101" i="46"/>
  <c r="H102" i="45"/>
  <c r="D103" i="45"/>
  <c r="E103" i="45"/>
  <c r="J101" i="44"/>
  <c r="D103" i="44"/>
  <c r="G102" i="44"/>
  <c r="I102" i="44" s="1"/>
  <c r="E103" i="44"/>
  <c r="J101" i="45"/>
  <c r="J101" i="42"/>
  <c r="J101" i="38"/>
  <c r="G102" i="41"/>
  <c r="I102" i="41" s="1"/>
  <c r="D103" i="41"/>
  <c r="E103" i="41"/>
  <c r="G102" i="42"/>
  <c r="I102" i="42" s="1"/>
  <c r="D103" i="42"/>
  <c r="E103" i="42"/>
  <c r="J101" i="41"/>
  <c r="D103" i="38"/>
  <c r="G102" i="38"/>
  <c r="I102" i="38" s="1"/>
  <c r="B107" i="24"/>
  <c r="F107" i="24"/>
  <c r="H107" i="24" s="1"/>
  <c r="M88" i="24" s="1"/>
  <c r="M89" i="24" s="1"/>
  <c r="B101" i="40"/>
  <c r="F101" i="40"/>
  <c r="H101" i="40" s="1"/>
  <c r="M88" i="40" s="1"/>
  <c r="M89" i="40" s="1"/>
  <c r="B106" i="27"/>
  <c r="F106" i="27"/>
  <c r="H106" i="27" s="1"/>
  <c r="M88" i="27" s="1"/>
  <c r="M89" i="27" s="1"/>
  <c r="B104" i="30"/>
  <c r="F104" i="30"/>
  <c r="H104" i="30" s="1"/>
  <c r="M88" i="30" s="1"/>
  <c r="M89" i="30" s="1"/>
  <c r="B109" i="25"/>
  <c r="F109" i="25"/>
  <c r="H109" i="25" s="1"/>
  <c r="M88" i="25" s="1"/>
  <c r="M89" i="25" s="1"/>
  <c r="B109" i="22"/>
  <c r="F109" i="22"/>
  <c r="H109" i="22" s="1"/>
  <c r="M88" i="22" s="1"/>
  <c r="M89" i="22" s="1"/>
  <c r="B111" i="8"/>
  <c r="F111" i="8"/>
  <c r="H111" i="8" s="1"/>
  <c r="M88" i="8" s="1"/>
  <c r="M89" i="8" s="1"/>
  <c r="B113" i="7"/>
  <c r="F113" i="7"/>
  <c r="H113" i="7" s="1"/>
  <c r="M88" i="7" s="1"/>
  <c r="M89" i="7" s="1"/>
  <c r="B105" i="31"/>
  <c r="F105" i="31"/>
  <c r="H105" i="31" s="1"/>
  <c r="M88" i="31" s="1"/>
  <c r="M89" i="31" s="1"/>
  <c r="B105" i="29"/>
  <c r="F105" i="29"/>
  <c r="H105" i="29" s="1"/>
  <c r="M88" i="29" s="1"/>
  <c r="M89" i="29" s="1"/>
  <c r="B105" i="28"/>
  <c r="F105" i="28"/>
  <c r="H105" i="28" s="1"/>
  <c r="M88" i="28" s="1"/>
  <c r="M89" i="28" s="1"/>
  <c r="B110" i="4"/>
  <c r="F110" i="4"/>
  <c r="H110" i="4" s="1"/>
  <c r="M88" i="4" s="1"/>
  <c r="M89" i="4" s="1"/>
  <c r="B113" i="10"/>
  <c r="F113" i="10"/>
  <c r="H113" i="10" s="1"/>
  <c r="M88" i="10" s="1"/>
  <c r="M89" i="10" s="1"/>
  <c r="B108" i="23"/>
  <c r="F108" i="23"/>
  <c r="H108" i="23" s="1"/>
  <c r="M88" i="23" s="1"/>
  <c r="M89" i="23" s="1"/>
  <c r="B110" i="3"/>
  <c r="F110" i="3"/>
  <c r="H110" i="3" s="1"/>
  <c r="M88" i="3" s="1"/>
  <c r="B102" i="43"/>
  <c r="F102" i="43"/>
  <c r="H102" i="43" s="1"/>
  <c r="B112" i="11"/>
  <c r="F112" i="11"/>
  <c r="H112" i="11" s="1"/>
  <c r="M88" i="11" s="1"/>
  <c r="M89" i="11" s="1"/>
  <c r="B111" i="6"/>
  <c r="F111" i="6"/>
  <c r="H111" i="6" s="1"/>
  <c r="M88" i="6" s="1"/>
  <c r="M89" i="6" s="1"/>
  <c r="B112" i="9"/>
  <c r="F112" i="9"/>
  <c r="H112" i="9" s="1"/>
  <c r="M88" i="9" s="1"/>
  <c r="M89" i="9" s="1"/>
  <c r="B102" i="39"/>
  <c r="F102" i="39"/>
  <c r="H102" i="39" s="1"/>
  <c r="M88" i="39" s="1"/>
  <c r="M89" i="39" s="1"/>
  <c r="B102" i="37"/>
  <c r="F102" i="37"/>
  <c r="H102" i="37" s="1"/>
  <c r="M88" i="37" s="1"/>
  <c r="M89" i="37" s="1"/>
  <c r="B110" i="5"/>
  <c r="F110" i="5"/>
  <c r="H110" i="5" s="1"/>
  <c r="M88" i="5" s="1"/>
  <c r="M89" i="5" s="1"/>
  <c r="I19" i="17"/>
  <c r="I22" i="17"/>
  <c r="I30" i="17"/>
  <c r="I32" i="17"/>
  <c r="I39" i="17"/>
  <c r="I25" i="17"/>
  <c r="I24" i="17"/>
  <c r="I34" i="17"/>
  <c r="I33" i="17"/>
  <c r="I38" i="17"/>
  <c r="I35" i="17"/>
  <c r="I21" i="17"/>
  <c r="I23" i="17"/>
  <c r="I20" i="17"/>
  <c r="I27" i="17"/>
  <c r="I29" i="17"/>
  <c r="I26" i="17"/>
  <c r="I28" i="17"/>
  <c r="I31" i="17"/>
  <c r="I36" i="17"/>
  <c r="H102" i="46" l="1"/>
  <c r="J102" i="46" s="1"/>
  <c r="F103" i="45"/>
  <c r="G103" i="45" s="1"/>
  <c r="I103" i="45" s="1"/>
  <c r="B103" i="42"/>
  <c r="F103" i="46"/>
  <c r="B103" i="45"/>
  <c r="H103" i="45"/>
  <c r="B103" i="44"/>
  <c r="J102" i="45"/>
  <c r="F103" i="44"/>
  <c r="E104" i="44" s="1"/>
  <c r="M88" i="45"/>
  <c r="M89" i="45" s="1"/>
  <c r="M89" i="3"/>
  <c r="F103" i="42"/>
  <c r="D104" i="42" s="1"/>
  <c r="E103" i="38"/>
  <c r="F103" i="38" s="1"/>
  <c r="H103" i="38" s="1"/>
  <c r="B103" i="38"/>
  <c r="B103" i="41"/>
  <c r="F103" i="41"/>
  <c r="H103" i="41" s="1"/>
  <c r="J111" i="9"/>
  <c r="J101" i="43"/>
  <c r="G110" i="5"/>
  <c r="D111" i="5"/>
  <c r="E111" i="5"/>
  <c r="G112" i="9"/>
  <c r="I112" i="9" s="1"/>
  <c r="N88" i="9" s="1"/>
  <c r="N89" i="9" s="1"/>
  <c r="D113" i="9"/>
  <c r="E113" i="9"/>
  <c r="J112" i="10"/>
  <c r="G111" i="6"/>
  <c r="I111" i="6" s="1"/>
  <c r="N88" i="6" s="1"/>
  <c r="N89" i="6" s="1"/>
  <c r="D112" i="6"/>
  <c r="E112" i="6"/>
  <c r="J104" i="29"/>
  <c r="J109" i="5"/>
  <c r="J106" i="24"/>
  <c r="G107" i="24"/>
  <c r="I107" i="24" s="1"/>
  <c r="N88" i="24" s="1"/>
  <c r="N89" i="24" s="1"/>
  <c r="D108" i="24"/>
  <c r="E108" i="24"/>
  <c r="G102" i="37"/>
  <c r="I102" i="37" s="1"/>
  <c r="N88" i="37" s="1"/>
  <c r="N89" i="37" s="1"/>
  <c r="D103" i="37"/>
  <c r="E103" i="37"/>
  <c r="G102" i="39"/>
  <c r="I102" i="39" s="1"/>
  <c r="N88" i="39" s="1"/>
  <c r="N89" i="39" s="1"/>
  <c r="D103" i="39"/>
  <c r="E103" i="39"/>
  <c r="J109" i="3"/>
  <c r="G112" i="11"/>
  <c r="I112" i="11" s="1"/>
  <c r="N88" i="11" s="1"/>
  <c r="O88" i="11" s="1"/>
  <c r="O89" i="11" s="1"/>
  <c r="D113" i="11"/>
  <c r="E113" i="11"/>
  <c r="J104" i="28"/>
  <c r="G108" i="23"/>
  <c r="I108" i="23" s="1"/>
  <c r="N88" i="23" s="1"/>
  <c r="N89" i="23" s="1"/>
  <c r="D109" i="23"/>
  <c r="E109" i="23"/>
  <c r="G113" i="10"/>
  <c r="I113" i="10" s="1"/>
  <c r="N88" i="10" s="1"/>
  <c r="N89" i="10" s="1"/>
  <c r="D114" i="10"/>
  <c r="E114" i="10"/>
  <c r="J105" i="27"/>
  <c r="J100" i="40"/>
  <c r="G109" i="22"/>
  <c r="I109" i="22" s="1"/>
  <c r="N88" i="22" s="1"/>
  <c r="N89" i="22" s="1"/>
  <c r="D110" i="22"/>
  <c r="E110" i="22"/>
  <c r="G109" i="25"/>
  <c r="I109" i="25" s="1"/>
  <c r="N88" i="25" s="1"/>
  <c r="N89" i="25" s="1"/>
  <c r="D110" i="25"/>
  <c r="E110" i="25"/>
  <c r="J101" i="37"/>
  <c r="J101" i="39"/>
  <c r="G101" i="40"/>
  <c r="I101" i="40" s="1"/>
  <c r="N88" i="40" s="1"/>
  <c r="N89" i="40" s="1"/>
  <c r="D102" i="40"/>
  <c r="E102" i="40"/>
  <c r="J110" i="6"/>
  <c r="J111" i="11"/>
  <c r="G102" i="43"/>
  <c r="I102" i="43" s="1"/>
  <c r="D103" i="43"/>
  <c r="E103" i="43"/>
  <c r="J110" i="8"/>
  <c r="J108" i="25"/>
  <c r="G105" i="28"/>
  <c r="I105" i="28" s="1"/>
  <c r="N88" i="28" s="1"/>
  <c r="N89" i="28" s="1"/>
  <c r="D106" i="28"/>
  <c r="E106" i="28"/>
  <c r="G105" i="29"/>
  <c r="I105" i="29" s="1"/>
  <c r="N88" i="29" s="1"/>
  <c r="N89" i="29" s="1"/>
  <c r="D106" i="29"/>
  <c r="E106" i="29"/>
  <c r="G113" i="7"/>
  <c r="I113" i="7" s="1"/>
  <c r="N88" i="7" s="1"/>
  <c r="N89" i="7" s="1"/>
  <c r="D114" i="7"/>
  <c r="E114" i="7"/>
  <c r="G111" i="8"/>
  <c r="I111" i="8" s="1"/>
  <c r="N88" i="8" s="1"/>
  <c r="N89" i="8" s="1"/>
  <c r="D112" i="8"/>
  <c r="E112" i="8"/>
  <c r="G106" i="27"/>
  <c r="I106" i="27" s="1"/>
  <c r="N88" i="27" s="1"/>
  <c r="N89" i="27" s="1"/>
  <c r="D107" i="27"/>
  <c r="E107" i="27"/>
  <c r="J107" i="23"/>
  <c r="J109" i="4"/>
  <c r="J104" i="31"/>
  <c r="J112" i="7"/>
  <c r="G110" i="3"/>
  <c r="D111" i="3"/>
  <c r="E111" i="3"/>
  <c r="G110" i="4"/>
  <c r="D111" i="4"/>
  <c r="E111" i="4"/>
  <c r="J108" i="22"/>
  <c r="J103" i="30"/>
  <c r="G105" i="31"/>
  <c r="I105" i="31" s="1"/>
  <c r="N88" i="31" s="1"/>
  <c r="N89" i="31" s="1"/>
  <c r="D106" i="31"/>
  <c r="E106" i="31"/>
  <c r="G104" i="30"/>
  <c r="I104" i="30" s="1"/>
  <c r="N88" i="30" s="1"/>
  <c r="N89" i="30" s="1"/>
  <c r="D105" i="30"/>
  <c r="E105" i="30"/>
  <c r="I18" i="17"/>
  <c r="I44" i="17"/>
  <c r="O88" i="9" l="1"/>
  <c r="O89" i="9" s="1"/>
  <c r="O88" i="28"/>
  <c r="O89" i="28" s="1"/>
  <c r="O88" i="30"/>
  <c r="O89" i="30" s="1"/>
  <c r="O88" i="7"/>
  <c r="O89" i="7" s="1"/>
  <c r="O88" i="39"/>
  <c r="O89" i="39" s="1"/>
  <c r="O88" i="29"/>
  <c r="O89" i="29" s="1"/>
  <c r="O88" i="6"/>
  <c r="O89" i="6" s="1"/>
  <c r="O88" i="23"/>
  <c r="O89" i="23" s="1"/>
  <c r="D104" i="45"/>
  <c r="E104" i="45"/>
  <c r="O88" i="27"/>
  <c r="O89" i="27" s="1"/>
  <c r="H103" i="46"/>
  <c r="G103" i="46"/>
  <c r="I103" i="46" s="1"/>
  <c r="D104" i="46"/>
  <c r="B104" i="46" s="1"/>
  <c r="E104" i="46"/>
  <c r="O88" i="37"/>
  <c r="O89" i="37" s="1"/>
  <c r="N89" i="11"/>
  <c r="O88" i="22"/>
  <c r="O89" i="22" s="1"/>
  <c r="O88" i="8"/>
  <c r="O89" i="8" s="1"/>
  <c r="O88" i="25"/>
  <c r="O89" i="25" s="1"/>
  <c r="H103" i="42"/>
  <c r="O88" i="40"/>
  <c r="O89" i="40" s="1"/>
  <c r="O88" i="31"/>
  <c r="O89" i="31" s="1"/>
  <c r="O88" i="10"/>
  <c r="O89" i="10" s="1"/>
  <c r="O88" i="24"/>
  <c r="O89" i="24" s="1"/>
  <c r="D104" i="44"/>
  <c r="B104" i="44" s="1"/>
  <c r="H103" i="44"/>
  <c r="J102" i="44"/>
  <c r="G103" i="44"/>
  <c r="I103" i="44" s="1"/>
  <c r="N88" i="45"/>
  <c r="J103" i="45"/>
  <c r="G103" i="42"/>
  <c r="I103" i="42" s="1"/>
  <c r="J102" i="38"/>
  <c r="J102" i="41"/>
  <c r="J102" i="42"/>
  <c r="G103" i="38"/>
  <c r="I103" i="38" s="1"/>
  <c r="D104" i="38"/>
  <c r="E104" i="42"/>
  <c r="F104" i="42" s="1"/>
  <c r="H104" i="42" s="1"/>
  <c r="B104" i="42"/>
  <c r="G103" i="41"/>
  <c r="I103" i="41" s="1"/>
  <c r="D104" i="41"/>
  <c r="B106" i="28"/>
  <c r="F106" i="28"/>
  <c r="H106" i="28" s="1"/>
  <c r="B109" i="23"/>
  <c r="F109" i="23"/>
  <c r="H109" i="23" s="1"/>
  <c r="B103" i="39"/>
  <c r="F103" i="39"/>
  <c r="H103" i="39" s="1"/>
  <c r="B108" i="24"/>
  <c r="F108" i="24"/>
  <c r="H108" i="24" s="1"/>
  <c r="B111" i="3"/>
  <c r="F111" i="3"/>
  <c r="H111" i="3" s="1"/>
  <c r="B111" i="4"/>
  <c r="F111" i="4"/>
  <c r="H111" i="4" s="1"/>
  <c r="I110" i="3"/>
  <c r="N88" i="3" s="1"/>
  <c r="B107" i="27"/>
  <c r="F107" i="27"/>
  <c r="H107" i="27" s="1"/>
  <c r="B114" i="7"/>
  <c r="F114" i="7"/>
  <c r="H114" i="7" s="1"/>
  <c r="B106" i="29"/>
  <c r="F106" i="29"/>
  <c r="H106" i="29" s="1"/>
  <c r="B103" i="43"/>
  <c r="F103" i="43"/>
  <c r="H103" i="43" s="1"/>
  <c r="B110" i="22"/>
  <c r="F110" i="22"/>
  <c r="H110" i="22" s="1"/>
  <c r="B114" i="10"/>
  <c r="F114" i="10"/>
  <c r="H114" i="10" s="1"/>
  <c r="B112" i="6"/>
  <c r="F112" i="6"/>
  <c r="H112" i="6" s="1"/>
  <c r="B105" i="30"/>
  <c r="F105" i="30"/>
  <c r="H105" i="30" s="1"/>
  <c r="B106" i="31"/>
  <c r="F106" i="31"/>
  <c r="H106" i="31" s="1"/>
  <c r="I110" i="4"/>
  <c r="N88" i="4" s="1"/>
  <c r="B112" i="8"/>
  <c r="F112" i="8"/>
  <c r="H112" i="8" s="1"/>
  <c r="B110" i="25"/>
  <c r="F110" i="25"/>
  <c r="H110" i="25" s="1"/>
  <c r="B113" i="11"/>
  <c r="F113" i="11"/>
  <c r="H113" i="11" s="1"/>
  <c r="B111" i="5"/>
  <c r="F111" i="5"/>
  <c r="H111" i="5" s="1"/>
  <c r="B102" i="40"/>
  <c r="F102" i="40"/>
  <c r="H102" i="40" s="1"/>
  <c r="B103" i="37"/>
  <c r="F103" i="37"/>
  <c r="H103" i="37" s="1"/>
  <c r="B113" i="9"/>
  <c r="F113" i="9"/>
  <c r="H113" i="9" s="1"/>
  <c r="I110" i="5"/>
  <c r="N88" i="5" s="1"/>
  <c r="J103" i="46" l="1"/>
  <c r="B104" i="45"/>
  <c r="F104" i="45"/>
  <c r="O88" i="5"/>
  <c r="O89" i="5" s="1"/>
  <c r="N89" i="5"/>
  <c r="N89" i="3"/>
  <c r="O88" i="3"/>
  <c r="O89" i="3" s="1"/>
  <c r="F104" i="44"/>
  <c r="D105" i="44" s="1"/>
  <c r="B105" i="44" s="1"/>
  <c r="O88" i="4"/>
  <c r="O89" i="4" s="1"/>
  <c r="N89" i="4"/>
  <c r="F104" i="46"/>
  <c r="M88" i="44"/>
  <c r="M89" i="44" s="1"/>
  <c r="N88" i="44"/>
  <c r="J103" i="44"/>
  <c r="N89" i="45"/>
  <c r="O88" i="45"/>
  <c r="O89" i="45" s="1"/>
  <c r="J103" i="42"/>
  <c r="G104" i="42"/>
  <c r="I104" i="42" s="1"/>
  <c r="D105" i="42"/>
  <c r="E104" i="38"/>
  <c r="F104" i="38" s="1"/>
  <c r="H104" i="38" s="1"/>
  <c r="B104" i="38"/>
  <c r="E104" i="41"/>
  <c r="F104" i="41" s="1"/>
  <c r="H104" i="41" s="1"/>
  <c r="B104" i="41"/>
  <c r="G103" i="37"/>
  <c r="I103" i="37" s="1"/>
  <c r="D104" i="37"/>
  <c r="E104" i="37"/>
  <c r="G113" i="11"/>
  <c r="I113" i="11" s="1"/>
  <c r="D114" i="11"/>
  <c r="E114" i="11"/>
  <c r="J105" i="29"/>
  <c r="G112" i="8"/>
  <c r="I112" i="8" s="1"/>
  <c r="D113" i="8"/>
  <c r="E113" i="8"/>
  <c r="G103" i="43"/>
  <c r="I103" i="43" s="1"/>
  <c r="D104" i="43"/>
  <c r="E104" i="43"/>
  <c r="G106" i="29"/>
  <c r="I106" i="29" s="1"/>
  <c r="D107" i="29"/>
  <c r="E107" i="29"/>
  <c r="G107" i="27"/>
  <c r="I107" i="27" s="1"/>
  <c r="D108" i="27"/>
  <c r="E108" i="27"/>
  <c r="G111" i="4"/>
  <c r="D112" i="4"/>
  <c r="E112" i="4"/>
  <c r="J102" i="37"/>
  <c r="G106" i="28"/>
  <c r="I106" i="28" s="1"/>
  <c r="D107" i="28"/>
  <c r="E107" i="28"/>
  <c r="J109" i="25"/>
  <c r="G111" i="5"/>
  <c r="D112" i="5"/>
  <c r="E112" i="5"/>
  <c r="J109" i="22"/>
  <c r="J110" i="4"/>
  <c r="G105" i="30"/>
  <c r="I105" i="30" s="1"/>
  <c r="D106" i="30"/>
  <c r="E106" i="30"/>
  <c r="J107" i="24"/>
  <c r="J108" i="23"/>
  <c r="G110" i="22"/>
  <c r="I110" i="22" s="1"/>
  <c r="D111" i="22"/>
  <c r="E111" i="22"/>
  <c r="G109" i="23"/>
  <c r="I109" i="23" s="1"/>
  <c r="D110" i="23"/>
  <c r="E110" i="23"/>
  <c r="J101" i="40"/>
  <c r="J110" i="5"/>
  <c r="G113" i="9"/>
  <c r="I113" i="9" s="1"/>
  <c r="D114" i="9"/>
  <c r="E114" i="9"/>
  <c r="J112" i="11"/>
  <c r="G102" i="40"/>
  <c r="I102" i="40" s="1"/>
  <c r="D103" i="40"/>
  <c r="E103" i="40"/>
  <c r="J111" i="8"/>
  <c r="J104" i="30"/>
  <c r="J113" i="10"/>
  <c r="J102" i="43"/>
  <c r="J106" i="27"/>
  <c r="J105" i="28"/>
  <c r="G114" i="7"/>
  <c r="I114" i="7" s="1"/>
  <c r="D115" i="7"/>
  <c r="E115" i="7"/>
  <c r="J110" i="3"/>
  <c r="G108" i="24"/>
  <c r="I108" i="24" s="1"/>
  <c r="D109" i="24"/>
  <c r="E109" i="24"/>
  <c r="G103" i="39"/>
  <c r="I103" i="39" s="1"/>
  <c r="D104" i="39"/>
  <c r="E104" i="39"/>
  <c r="J105" i="31"/>
  <c r="J111" i="6"/>
  <c r="G110" i="25"/>
  <c r="I110" i="25" s="1"/>
  <c r="O108" i="25" s="1"/>
  <c r="P108" i="25" s="1"/>
  <c r="D111" i="25"/>
  <c r="E111" i="25"/>
  <c r="J113" i="7"/>
  <c r="G106" i="31"/>
  <c r="I106" i="31" s="1"/>
  <c r="D107" i="31"/>
  <c r="E107" i="31"/>
  <c r="G112" i="6"/>
  <c r="I112" i="6" s="1"/>
  <c r="D113" i="6"/>
  <c r="E113" i="6"/>
  <c r="J102" i="39"/>
  <c r="G114" i="10"/>
  <c r="I114" i="10" s="1"/>
  <c r="D115" i="10"/>
  <c r="E115" i="10"/>
  <c r="G111" i="3"/>
  <c r="D112" i="3"/>
  <c r="E112" i="3"/>
  <c r="J112" i="9"/>
  <c r="I43" i="17"/>
  <c r="H104" i="44" l="1"/>
  <c r="E105" i="44"/>
  <c r="F105" i="44" s="1"/>
  <c r="H105" i="44" s="1"/>
  <c r="G104" i="44"/>
  <c r="I104" i="44" s="1"/>
  <c r="J104" i="44" s="1"/>
  <c r="H104" i="45"/>
  <c r="E105" i="45"/>
  <c r="D105" i="45"/>
  <c r="G104" i="45"/>
  <c r="I104" i="45" s="1"/>
  <c r="H104" i="46"/>
  <c r="G104" i="46"/>
  <c r="I104" i="46" s="1"/>
  <c r="D105" i="46"/>
  <c r="E105" i="46"/>
  <c r="N18" i="2"/>
  <c r="R134" i="2" s="1"/>
  <c r="I47" i="17"/>
  <c r="G105" i="44"/>
  <c r="I105" i="44" s="1"/>
  <c r="D106" i="44"/>
  <c r="O88" i="44"/>
  <c r="O89" i="44" s="1"/>
  <c r="N89" i="44"/>
  <c r="O18" i="2"/>
  <c r="J103" i="38"/>
  <c r="D105" i="41"/>
  <c r="G104" i="41"/>
  <c r="I104" i="41" s="1"/>
  <c r="D105" i="38"/>
  <c r="G104" i="38"/>
  <c r="I104" i="38" s="1"/>
  <c r="E105" i="38"/>
  <c r="E105" i="42"/>
  <c r="F105" i="42" s="1"/>
  <c r="H105" i="42" s="1"/>
  <c r="B105" i="42"/>
  <c r="J103" i="41"/>
  <c r="B111" i="25"/>
  <c r="F111" i="25"/>
  <c r="H111" i="25" s="1"/>
  <c r="B104" i="39"/>
  <c r="F104" i="39"/>
  <c r="H104" i="39" s="1"/>
  <c r="B107" i="28"/>
  <c r="F107" i="28"/>
  <c r="H107" i="28" s="1"/>
  <c r="B108" i="27"/>
  <c r="F108" i="27"/>
  <c r="H108" i="27" s="1"/>
  <c r="B112" i="3"/>
  <c r="F112" i="3"/>
  <c r="H112" i="3" s="1"/>
  <c r="I111" i="3"/>
  <c r="B115" i="10"/>
  <c r="F115" i="10"/>
  <c r="H115" i="10" s="1"/>
  <c r="B107" i="31"/>
  <c r="F107" i="31"/>
  <c r="H107" i="31" s="1"/>
  <c r="B115" i="7"/>
  <c r="F115" i="7"/>
  <c r="H115" i="7" s="1"/>
  <c r="B103" i="40"/>
  <c r="F103" i="40"/>
  <c r="H103" i="40" s="1"/>
  <c r="B112" i="4"/>
  <c r="F112" i="4"/>
  <c r="H112" i="4" s="1"/>
  <c r="B113" i="6"/>
  <c r="F113" i="6"/>
  <c r="H113" i="6" s="1"/>
  <c r="B114" i="9"/>
  <c r="F114" i="9"/>
  <c r="H114" i="9" s="1"/>
  <c r="B106" i="30"/>
  <c r="F106" i="30"/>
  <c r="H106" i="30" s="1"/>
  <c r="B112" i="5"/>
  <c r="F112" i="5"/>
  <c r="H112" i="5" s="1"/>
  <c r="I111" i="4"/>
  <c r="B104" i="43"/>
  <c r="F104" i="43"/>
  <c r="H104" i="43" s="1"/>
  <c r="B113" i="8"/>
  <c r="F113" i="8"/>
  <c r="H113" i="8" s="1"/>
  <c r="B104" i="37"/>
  <c r="F104" i="37"/>
  <c r="H104" i="37" s="1"/>
  <c r="B109" i="24"/>
  <c r="F109" i="24"/>
  <c r="H109" i="24" s="1"/>
  <c r="B110" i="23"/>
  <c r="F110" i="23"/>
  <c r="H110" i="23" s="1"/>
  <c r="B111" i="22"/>
  <c r="F111" i="22"/>
  <c r="H111" i="22" s="1"/>
  <c r="I111" i="5"/>
  <c r="B107" i="29"/>
  <c r="F107" i="29"/>
  <c r="H107" i="29" s="1"/>
  <c r="B114" i="11"/>
  <c r="F114" i="11"/>
  <c r="H114" i="11" s="1"/>
  <c r="J104" i="45" l="1"/>
  <c r="F105" i="46"/>
  <c r="G105" i="46" s="1"/>
  <c r="I105" i="46" s="1"/>
  <c r="B105" i="45"/>
  <c r="F105" i="45"/>
  <c r="B105" i="46"/>
  <c r="J104" i="46"/>
  <c r="N19" i="2"/>
  <c r="N20" i="2" s="1"/>
  <c r="E106" i="44"/>
  <c r="F106" i="44" s="1"/>
  <c r="H106" i="44" s="1"/>
  <c r="B106" i="44"/>
  <c r="R135" i="2"/>
  <c r="O19" i="2"/>
  <c r="O20" i="2" s="1"/>
  <c r="P18" i="2"/>
  <c r="P19" i="2" s="1"/>
  <c r="P20" i="2" s="1"/>
  <c r="G105" i="42"/>
  <c r="I105" i="42" s="1"/>
  <c r="D106" i="42"/>
  <c r="B105" i="38"/>
  <c r="F105" i="38"/>
  <c r="H105" i="38" s="1"/>
  <c r="J104" i="42"/>
  <c r="E105" i="41"/>
  <c r="F105" i="41" s="1"/>
  <c r="H105" i="41" s="1"/>
  <c r="B105" i="41"/>
  <c r="G113" i="8"/>
  <c r="I113" i="8" s="1"/>
  <c r="D114" i="8"/>
  <c r="E114" i="8"/>
  <c r="J112" i="8"/>
  <c r="J113" i="9"/>
  <c r="J103" i="39"/>
  <c r="J110" i="25"/>
  <c r="J111" i="3"/>
  <c r="J108" i="24"/>
  <c r="J111" i="4"/>
  <c r="J103" i="37"/>
  <c r="G107" i="29"/>
  <c r="I107" i="29" s="1"/>
  <c r="D108" i="29"/>
  <c r="E108" i="29"/>
  <c r="G106" i="30"/>
  <c r="I106" i="30" s="1"/>
  <c r="D107" i="30"/>
  <c r="E107" i="30"/>
  <c r="G110" i="23"/>
  <c r="I110" i="23" s="1"/>
  <c r="D111" i="23"/>
  <c r="E111" i="23"/>
  <c r="G109" i="24"/>
  <c r="I109" i="24" s="1"/>
  <c r="D110" i="24"/>
  <c r="E110" i="24"/>
  <c r="G104" i="37"/>
  <c r="I104" i="37" s="1"/>
  <c r="D105" i="37"/>
  <c r="E105" i="37"/>
  <c r="G104" i="43"/>
  <c r="I104" i="43" s="1"/>
  <c r="D105" i="43"/>
  <c r="E105" i="43"/>
  <c r="J102" i="40"/>
  <c r="J114" i="10"/>
  <c r="J107" i="27"/>
  <c r="J106" i="28"/>
  <c r="G103" i="40"/>
  <c r="I103" i="40" s="1"/>
  <c r="D104" i="40"/>
  <c r="E104" i="40"/>
  <c r="G115" i="7"/>
  <c r="I115" i="7" s="1"/>
  <c r="D116" i="7"/>
  <c r="E116" i="7"/>
  <c r="G115" i="10"/>
  <c r="I115" i="10" s="1"/>
  <c r="D116" i="10"/>
  <c r="E116" i="10"/>
  <c r="G112" i="3"/>
  <c r="D113" i="3"/>
  <c r="E113" i="3"/>
  <c r="G107" i="28"/>
  <c r="I107" i="28" s="1"/>
  <c r="D108" i="28"/>
  <c r="E108" i="28"/>
  <c r="J110" i="22"/>
  <c r="G111" i="25"/>
  <c r="I111" i="25" s="1"/>
  <c r="D112" i="25"/>
  <c r="E112" i="25"/>
  <c r="G111" i="22"/>
  <c r="I111" i="22" s="1"/>
  <c r="D112" i="22"/>
  <c r="E112" i="22"/>
  <c r="G114" i="11"/>
  <c r="I114" i="11" s="1"/>
  <c r="D115" i="11"/>
  <c r="E115" i="11"/>
  <c r="J103" i="43"/>
  <c r="J105" i="30"/>
  <c r="G112" i="5"/>
  <c r="D113" i="5"/>
  <c r="E113" i="5"/>
  <c r="J106" i="31"/>
  <c r="J106" i="29"/>
  <c r="G104" i="39"/>
  <c r="I104" i="39" s="1"/>
  <c r="D105" i="39"/>
  <c r="E105" i="39"/>
  <c r="J111" i="5"/>
  <c r="J112" i="6"/>
  <c r="G114" i="9"/>
  <c r="I114" i="9" s="1"/>
  <c r="D115" i="9"/>
  <c r="E115" i="9"/>
  <c r="J114" i="7"/>
  <c r="G113" i="6"/>
  <c r="I113" i="6" s="1"/>
  <c r="D114" i="6"/>
  <c r="E114" i="6"/>
  <c r="G112" i="4"/>
  <c r="D113" i="4"/>
  <c r="E113" i="4"/>
  <c r="G107" i="31"/>
  <c r="I107" i="31" s="1"/>
  <c r="D108" i="31"/>
  <c r="E108" i="31"/>
  <c r="J113" i="11"/>
  <c r="G108" i="27"/>
  <c r="I108" i="27" s="1"/>
  <c r="D109" i="27"/>
  <c r="E109" i="27"/>
  <c r="J109" i="23"/>
  <c r="E106" i="46" l="1"/>
  <c r="D106" i="46"/>
  <c r="B106" i="46" s="1"/>
  <c r="H105" i="46"/>
  <c r="J105" i="46" s="1"/>
  <c r="G105" i="45"/>
  <c r="I105" i="45" s="1"/>
  <c r="E106" i="45"/>
  <c r="D106" i="45"/>
  <c r="H105" i="45"/>
  <c r="F106" i="46"/>
  <c r="G106" i="46" s="1"/>
  <c r="I106" i="46" s="1"/>
  <c r="J104" i="38"/>
  <c r="J104" i="41"/>
  <c r="D107" i="44"/>
  <c r="G106" i="44"/>
  <c r="I106" i="44" s="1"/>
  <c r="J105" i="44"/>
  <c r="D106" i="41"/>
  <c r="G105" i="41"/>
  <c r="I105" i="41" s="1"/>
  <c r="D106" i="38"/>
  <c r="G105" i="38"/>
  <c r="I105" i="38" s="1"/>
  <c r="E106" i="42"/>
  <c r="F106" i="42" s="1"/>
  <c r="H106" i="42" s="1"/>
  <c r="B106" i="42"/>
  <c r="B109" i="27"/>
  <c r="F109" i="27"/>
  <c r="H109" i="27" s="1"/>
  <c r="B108" i="31"/>
  <c r="F108" i="31"/>
  <c r="H108" i="31" s="1"/>
  <c r="I112" i="4"/>
  <c r="I112" i="5"/>
  <c r="B112" i="25"/>
  <c r="F112" i="25"/>
  <c r="H112" i="25" s="1"/>
  <c r="B113" i="3"/>
  <c r="F113" i="3"/>
  <c r="H113" i="3" s="1"/>
  <c r="B105" i="43"/>
  <c r="F105" i="43"/>
  <c r="H105" i="43" s="1"/>
  <c r="B107" i="30"/>
  <c r="F107" i="30"/>
  <c r="H107" i="30" s="1"/>
  <c r="B112" i="22"/>
  <c r="F112" i="22"/>
  <c r="H112" i="22" s="1"/>
  <c r="B108" i="28"/>
  <c r="F108" i="28"/>
  <c r="H108" i="28" s="1"/>
  <c r="I112" i="3"/>
  <c r="B104" i="40"/>
  <c r="F104" i="40"/>
  <c r="H104" i="40" s="1"/>
  <c r="B111" i="23"/>
  <c r="F111" i="23"/>
  <c r="H111" i="23" s="1"/>
  <c r="B114" i="6"/>
  <c r="F114" i="6"/>
  <c r="H114" i="6" s="1"/>
  <c r="B105" i="39"/>
  <c r="F105" i="39"/>
  <c r="H105" i="39" s="1"/>
  <c r="B115" i="11"/>
  <c r="F115" i="11"/>
  <c r="H115" i="11" s="1"/>
  <c r="B116" i="7"/>
  <c r="F116" i="7"/>
  <c r="H116" i="7" s="1"/>
  <c r="B110" i="24"/>
  <c r="F110" i="24"/>
  <c r="H110" i="24" s="1"/>
  <c r="B114" i="8"/>
  <c r="F114" i="8"/>
  <c r="H114" i="8" s="1"/>
  <c r="B113" i="4"/>
  <c r="F113" i="4"/>
  <c r="H113" i="4" s="1"/>
  <c r="B115" i="9"/>
  <c r="F115" i="9"/>
  <c r="H115" i="9" s="1"/>
  <c r="B113" i="5"/>
  <c r="F113" i="5"/>
  <c r="H113" i="5" s="1"/>
  <c r="B116" i="10"/>
  <c r="F116" i="10"/>
  <c r="H116" i="10" s="1"/>
  <c r="B105" i="37"/>
  <c r="F105" i="37"/>
  <c r="H105" i="37" s="1"/>
  <c r="B108" i="29"/>
  <c r="F108" i="29"/>
  <c r="H108" i="29" s="1"/>
  <c r="E107" i="46" l="1"/>
  <c r="H106" i="46"/>
  <c r="J106" i="46" s="1"/>
  <c r="D107" i="46"/>
  <c r="B107" i="46" s="1"/>
  <c r="B106" i="45"/>
  <c r="F106" i="45"/>
  <c r="J105" i="45"/>
  <c r="J105" i="42"/>
  <c r="E107" i="44"/>
  <c r="F107" i="44" s="1"/>
  <c r="H107" i="44" s="1"/>
  <c r="B107" i="44"/>
  <c r="D107" i="42"/>
  <c r="G106" i="42"/>
  <c r="I106" i="42" s="1"/>
  <c r="E106" i="38"/>
  <c r="F106" i="38" s="1"/>
  <c r="H106" i="38" s="1"/>
  <c r="B106" i="38"/>
  <c r="E106" i="41"/>
  <c r="F106" i="41" s="1"/>
  <c r="H106" i="41" s="1"/>
  <c r="B106" i="41"/>
  <c r="J113" i="8"/>
  <c r="J109" i="24"/>
  <c r="J115" i="7"/>
  <c r="J114" i="11"/>
  <c r="J104" i="39"/>
  <c r="J113" i="6"/>
  <c r="G114" i="8"/>
  <c r="I114" i="8" s="1"/>
  <c r="D115" i="8"/>
  <c r="E115" i="8"/>
  <c r="G110" i="24"/>
  <c r="I110" i="24" s="1"/>
  <c r="D111" i="24"/>
  <c r="E111" i="24"/>
  <c r="G116" i="7"/>
  <c r="I116" i="7" s="1"/>
  <c r="D117" i="7"/>
  <c r="E117" i="7"/>
  <c r="J111" i="22"/>
  <c r="G105" i="39"/>
  <c r="I105" i="39" s="1"/>
  <c r="D106" i="39"/>
  <c r="E106" i="39"/>
  <c r="J106" i="30"/>
  <c r="J112" i="3"/>
  <c r="J111" i="25"/>
  <c r="J107" i="31"/>
  <c r="J107" i="29"/>
  <c r="J115" i="10"/>
  <c r="G112" i="25"/>
  <c r="I112" i="25" s="1"/>
  <c r="D113" i="25"/>
  <c r="E113" i="25"/>
  <c r="J114" i="9"/>
  <c r="G108" i="31"/>
  <c r="I108" i="31" s="1"/>
  <c r="D109" i="31"/>
  <c r="E109" i="31"/>
  <c r="J104" i="43"/>
  <c r="J104" i="37"/>
  <c r="G108" i="29"/>
  <c r="I108" i="29" s="1"/>
  <c r="D109" i="29"/>
  <c r="E109" i="29"/>
  <c r="G105" i="37"/>
  <c r="I105" i="37" s="1"/>
  <c r="D106" i="37"/>
  <c r="E106" i="37"/>
  <c r="G116" i="10"/>
  <c r="I116" i="10" s="1"/>
  <c r="D117" i="10"/>
  <c r="E117" i="10"/>
  <c r="G113" i="5"/>
  <c r="D114" i="5"/>
  <c r="E114" i="5"/>
  <c r="G115" i="9"/>
  <c r="I115" i="9" s="1"/>
  <c r="D116" i="9"/>
  <c r="E116" i="9"/>
  <c r="G113" i="4"/>
  <c r="D114" i="4"/>
  <c r="E114" i="4"/>
  <c r="J110" i="23"/>
  <c r="J103" i="40"/>
  <c r="J107" i="28"/>
  <c r="G115" i="11"/>
  <c r="I115" i="11" s="1"/>
  <c r="D116" i="11"/>
  <c r="E116" i="11"/>
  <c r="G114" i="6"/>
  <c r="I114" i="6" s="1"/>
  <c r="D115" i="6"/>
  <c r="E115" i="6"/>
  <c r="G111" i="23"/>
  <c r="I111" i="23" s="1"/>
  <c r="D112" i="23"/>
  <c r="E112" i="23"/>
  <c r="G104" i="40"/>
  <c r="I104" i="40" s="1"/>
  <c r="D105" i="40"/>
  <c r="E105" i="40"/>
  <c r="G108" i="28"/>
  <c r="I108" i="28" s="1"/>
  <c r="D109" i="28"/>
  <c r="E109" i="28"/>
  <c r="G112" i="22"/>
  <c r="I112" i="22" s="1"/>
  <c r="D113" i="22"/>
  <c r="E113" i="22"/>
  <c r="G107" i="30"/>
  <c r="I107" i="30" s="1"/>
  <c r="D108" i="30"/>
  <c r="E108" i="30"/>
  <c r="G105" i="43"/>
  <c r="I105" i="43" s="1"/>
  <c r="D106" i="43"/>
  <c r="E106" i="43"/>
  <c r="G113" i="3"/>
  <c r="D114" i="3"/>
  <c r="E114" i="3"/>
  <c r="J112" i="5"/>
  <c r="J112" i="4"/>
  <c r="G109" i="27"/>
  <c r="I109" i="27" s="1"/>
  <c r="D110" i="27"/>
  <c r="E110" i="27"/>
  <c r="J108" i="27"/>
  <c r="F107" i="46" l="1"/>
  <c r="G107" i="46" s="1"/>
  <c r="I107" i="46" s="1"/>
  <c r="E108" i="46"/>
  <c r="D108" i="46"/>
  <c r="G106" i="45"/>
  <c r="I106" i="45" s="1"/>
  <c r="E107" i="45"/>
  <c r="D107" i="45"/>
  <c r="H106" i="45"/>
  <c r="H107" i="46"/>
  <c r="J107" i="46" s="1"/>
  <c r="J106" i="44"/>
  <c r="D108" i="44"/>
  <c r="G107" i="44"/>
  <c r="I107" i="44" s="1"/>
  <c r="D107" i="41"/>
  <c r="G106" i="41"/>
  <c r="I106" i="41" s="1"/>
  <c r="D107" i="38"/>
  <c r="G106" i="38"/>
  <c r="I106" i="38" s="1"/>
  <c r="E107" i="42"/>
  <c r="F107" i="42" s="1"/>
  <c r="H107" i="42" s="1"/>
  <c r="B107" i="42"/>
  <c r="J105" i="41"/>
  <c r="J105" i="38"/>
  <c r="B114" i="3"/>
  <c r="F114" i="3"/>
  <c r="H114" i="3" s="1"/>
  <c r="B109" i="28"/>
  <c r="F109" i="28"/>
  <c r="H109" i="28" s="1"/>
  <c r="B116" i="11"/>
  <c r="F116" i="11"/>
  <c r="H116" i="11" s="1"/>
  <c r="B116" i="9"/>
  <c r="F116" i="9"/>
  <c r="H116" i="9" s="1"/>
  <c r="I113" i="5"/>
  <c r="B109" i="29"/>
  <c r="F109" i="29"/>
  <c r="H109" i="29" s="1"/>
  <c r="B113" i="25"/>
  <c r="F113" i="25"/>
  <c r="H113" i="25" s="1"/>
  <c r="B117" i="7"/>
  <c r="F117" i="7"/>
  <c r="H117" i="7" s="1"/>
  <c r="B110" i="27"/>
  <c r="F110" i="27"/>
  <c r="H110" i="27" s="1"/>
  <c r="I113" i="3"/>
  <c r="B113" i="22"/>
  <c r="F113" i="22"/>
  <c r="H113" i="22" s="1"/>
  <c r="B115" i="6"/>
  <c r="F115" i="6"/>
  <c r="H115" i="6" s="1"/>
  <c r="B114" i="4"/>
  <c r="F114" i="4"/>
  <c r="H114" i="4" s="1"/>
  <c r="B106" i="37"/>
  <c r="F106" i="37"/>
  <c r="H106" i="37" s="1"/>
  <c r="B108" i="30"/>
  <c r="F108" i="30"/>
  <c r="H108" i="30" s="1"/>
  <c r="B112" i="23"/>
  <c r="F112" i="23"/>
  <c r="H112" i="23" s="1"/>
  <c r="I113" i="4"/>
  <c r="B117" i="10"/>
  <c r="F117" i="10"/>
  <c r="H117" i="10" s="1"/>
  <c r="B115" i="8"/>
  <c r="F115" i="8"/>
  <c r="H115" i="8" s="1"/>
  <c r="B106" i="43"/>
  <c r="F106" i="43"/>
  <c r="H106" i="43" s="1"/>
  <c r="B105" i="40"/>
  <c r="F105" i="40"/>
  <c r="H105" i="40" s="1"/>
  <c r="B114" i="5"/>
  <c r="F114" i="5"/>
  <c r="H114" i="5" s="1"/>
  <c r="B109" i="31"/>
  <c r="F109" i="31"/>
  <c r="H109" i="31" s="1"/>
  <c r="B106" i="39"/>
  <c r="F106" i="39"/>
  <c r="H106" i="39" s="1"/>
  <c r="B111" i="24"/>
  <c r="F111" i="24"/>
  <c r="H111" i="24" s="1"/>
  <c r="F108" i="46" l="1"/>
  <c r="J106" i="45"/>
  <c r="B108" i="46"/>
  <c r="D109" i="46"/>
  <c r="B109" i="46" s="1"/>
  <c r="G108" i="46"/>
  <c r="I108" i="46" s="1"/>
  <c r="E109" i="46"/>
  <c r="H108" i="46"/>
  <c r="B107" i="45"/>
  <c r="F107" i="45"/>
  <c r="E108" i="44"/>
  <c r="F108" i="44" s="1"/>
  <c r="H108" i="44" s="1"/>
  <c r="B108" i="44"/>
  <c r="J106" i="42"/>
  <c r="G107" i="42"/>
  <c r="I107" i="42" s="1"/>
  <c r="D108" i="42"/>
  <c r="E107" i="41"/>
  <c r="F107" i="41" s="1"/>
  <c r="H107" i="41" s="1"/>
  <c r="B107" i="41"/>
  <c r="E107" i="38"/>
  <c r="F107" i="38" s="1"/>
  <c r="H107" i="38" s="1"/>
  <c r="B107" i="38"/>
  <c r="J114" i="8"/>
  <c r="J116" i="10"/>
  <c r="J105" i="39"/>
  <c r="J113" i="3"/>
  <c r="J105" i="43"/>
  <c r="G106" i="39"/>
  <c r="I106" i="39" s="1"/>
  <c r="D107" i="39"/>
  <c r="E107" i="39"/>
  <c r="J111" i="23"/>
  <c r="J107" i="30"/>
  <c r="G115" i="8"/>
  <c r="I115" i="8" s="1"/>
  <c r="D116" i="8"/>
  <c r="E116" i="8"/>
  <c r="G117" i="10"/>
  <c r="I117" i="10" s="1"/>
  <c r="D118" i="10"/>
  <c r="E118" i="10"/>
  <c r="J114" i="6"/>
  <c r="J112" i="22"/>
  <c r="J109" i="27"/>
  <c r="J112" i="25"/>
  <c r="G106" i="37"/>
  <c r="I106" i="37" s="1"/>
  <c r="D107" i="37"/>
  <c r="E107" i="37"/>
  <c r="G114" i="4"/>
  <c r="D115" i="4"/>
  <c r="E115" i="4"/>
  <c r="G115" i="6"/>
  <c r="I115" i="6" s="1"/>
  <c r="D116" i="6"/>
  <c r="E116" i="6"/>
  <c r="G113" i="22"/>
  <c r="I113" i="22" s="1"/>
  <c r="D114" i="22"/>
  <c r="E114" i="22"/>
  <c r="G110" i="27"/>
  <c r="I110" i="27" s="1"/>
  <c r="D111" i="27"/>
  <c r="E111" i="27"/>
  <c r="J108" i="31"/>
  <c r="J113" i="5"/>
  <c r="G116" i="11"/>
  <c r="I116" i="11" s="1"/>
  <c r="D117" i="11"/>
  <c r="E117" i="11"/>
  <c r="G109" i="28"/>
  <c r="I109" i="28" s="1"/>
  <c r="D110" i="28"/>
  <c r="E110" i="28"/>
  <c r="J110" i="24"/>
  <c r="G111" i="24"/>
  <c r="I111" i="24" s="1"/>
  <c r="D112" i="24"/>
  <c r="E112" i="24"/>
  <c r="G109" i="31"/>
  <c r="I109" i="31" s="1"/>
  <c r="D110" i="31"/>
  <c r="E110" i="31"/>
  <c r="G114" i="5"/>
  <c r="D115" i="5"/>
  <c r="E115" i="5"/>
  <c r="G105" i="40"/>
  <c r="I105" i="40" s="1"/>
  <c r="D106" i="40"/>
  <c r="E106" i="40"/>
  <c r="G106" i="43"/>
  <c r="I106" i="43" s="1"/>
  <c r="D107" i="43"/>
  <c r="E107" i="43"/>
  <c r="J105" i="37"/>
  <c r="J113" i="4"/>
  <c r="G112" i="23"/>
  <c r="I112" i="23" s="1"/>
  <c r="D113" i="23"/>
  <c r="E113" i="23"/>
  <c r="G108" i="30"/>
  <c r="I108" i="30" s="1"/>
  <c r="D109" i="30"/>
  <c r="E109" i="30"/>
  <c r="J116" i="7"/>
  <c r="J108" i="29"/>
  <c r="J115" i="9"/>
  <c r="J115" i="11"/>
  <c r="J108" i="28"/>
  <c r="G117" i="7"/>
  <c r="I117" i="7" s="1"/>
  <c r="D118" i="7"/>
  <c r="E118" i="7"/>
  <c r="G113" i="25"/>
  <c r="I113" i="25" s="1"/>
  <c r="D114" i="25"/>
  <c r="E114" i="25"/>
  <c r="G109" i="29"/>
  <c r="I109" i="29" s="1"/>
  <c r="D110" i="29"/>
  <c r="E110" i="29"/>
  <c r="G116" i="9"/>
  <c r="I116" i="9" s="1"/>
  <c r="D117" i="9"/>
  <c r="E117" i="9"/>
  <c r="J104" i="40"/>
  <c r="G114" i="3"/>
  <c r="D115" i="3"/>
  <c r="E115" i="3"/>
  <c r="F109" i="46" l="1"/>
  <c r="H109" i="46" s="1"/>
  <c r="D108" i="45"/>
  <c r="G107" i="45"/>
  <c r="I107" i="45" s="1"/>
  <c r="E108" i="45"/>
  <c r="H107" i="45"/>
  <c r="J108" i="46"/>
  <c r="G109" i="46"/>
  <c r="I109" i="46" s="1"/>
  <c r="J109" i="46" s="1"/>
  <c r="D110" i="46"/>
  <c r="E110" i="46"/>
  <c r="D109" i="44"/>
  <c r="G108" i="44"/>
  <c r="I108" i="44" s="1"/>
  <c r="J107" i="44"/>
  <c r="J106" i="41"/>
  <c r="G107" i="38"/>
  <c r="I107" i="38" s="1"/>
  <c r="D108" i="38"/>
  <c r="G107" i="41"/>
  <c r="I107" i="41" s="1"/>
  <c r="D108" i="41"/>
  <c r="E108" i="42"/>
  <c r="F108" i="42" s="1"/>
  <c r="H108" i="42" s="1"/>
  <c r="B108" i="42"/>
  <c r="J106" i="38"/>
  <c r="B115" i="3"/>
  <c r="F115" i="3"/>
  <c r="H115" i="3" s="1"/>
  <c r="I114" i="3"/>
  <c r="B114" i="25"/>
  <c r="F114" i="25"/>
  <c r="H114" i="25" s="1"/>
  <c r="B110" i="31"/>
  <c r="F110" i="31"/>
  <c r="H110" i="31" s="1"/>
  <c r="B115" i="4"/>
  <c r="F115" i="4"/>
  <c r="H115" i="4" s="1"/>
  <c r="B110" i="29"/>
  <c r="F110" i="29"/>
  <c r="H110" i="29" s="1"/>
  <c r="B115" i="5"/>
  <c r="F115" i="5"/>
  <c r="H115" i="5" s="1"/>
  <c r="B116" i="6"/>
  <c r="F116" i="6"/>
  <c r="H116" i="6" s="1"/>
  <c r="I114" i="4"/>
  <c r="B116" i="8"/>
  <c r="F116" i="8"/>
  <c r="H116" i="8" s="1"/>
  <c r="B117" i="9"/>
  <c r="F117" i="9"/>
  <c r="H117" i="9" s="1"/>
  <c r="B113" i="23"/>
  <c r="F113" i="23"/>
  <c r="H113" i="23" s="1"/>
  <c r="B106" i="40"/>
  <c r="F106" i="40"/>
  <c r="H106" i="40" s="1"/>
  <c r="I114" i="5"/>
  <c r="B117" i="11"/>
  <c r="F117" i="11"/>
  <c r="H117" i="11" s="1"/>
  <c r="B114" i="22"/>
  <c r="F114" i="22"/>
  <c r="H114" i="22" s="1"/>
  <c r="B118" i="10"/>
  <c r="F118" i="10"/>
  <c r="H118" i="10" s="1"/>
  <c r="B107" i="39"/>
  <c r="F107" i="39"/>
  <c r="H107" i="39" s="1"/>
  <c r="B118" i="7"/>
  <c r="F118" i="7"/>
  <c r="H118" i="7" s="1"/>
  <c r="B109" i="30"/>
  <c r="F109" i="30"/>
  <c r="H109" i="30" s="1"/>
  <c r="B107" i="43"/>
  <c r="F107" i="43"/>
  <c r="H107" i="43" s="1"/>
  <c r="B112" i="24"/>
  <c r="F112" i="24"/>
  <c r="H112" i="24" s="1"/>
  <c r="B110" i="28"/>
  <c r="F110" i="28"/>
  <c r="H110" i="28" s="1"/>
  <c r="B111" i="27"/>
  <c r="F111" i="27"/>
  <c r="H111" i="27" s="1"/>
  <c r="B107" i="37"/>
  <c r="F107" i="37"/>
  <c r="H107" i="37" s="1"/>
  <c r="F110" i="46" l="1"/>
  <c r="J107" i="45"/>
  <c r="B108" i="45"/>
  <c r="F108" i="45"/>
  <c r="H108" i="45" s="1"/>
  <c r="G110" i="46"/>
  <c r="I110" i="46" s="1"/>
  <c r="D111" i="46"/>
  <c r="B111" i="46" s="1"/>
  <c r="E111" i="46"/>
  <c r="H110" i="46"/>
  <c r="B110" i="46"/>
  <c r="E109" i="44"/>
  <c r="F109" i="44" s="1"/>
  <c r="H109" i="44" s="1"/>
  <c r="B109" i="44"/>
  <c r="G108" i="42"/>
  <c r="I108" i="42" s="1"/>
  <c r="D109" i="42"/>
  <c r="E108" i="41"/>
  <c r="F108" i="41" s="1"/>
  <c r="H108" i="41" s="1"/>
  <c r="B108" i="41"/>
  <c r="J114" i="3"/>
  <c r="J107" i="42"/>
  <c r="E108" i="38"/>
  <c r="F108" i="38" s="1"/>
  <c r="H108" i="38" s="1"/>
  <c r="B108" i="38"/>
  <c r="J110" i="27"/>
  <c r="J106" i="43"/>
  <c r="J112" i="23"/>
  <c r="J115" i="8"/>
  <c r="J115" i="6"/>
  <c r="J106" i="39"/>
  <c r="G107" i="37"/>
  <c r="I107" i="37" s="1"/>
  <c r="D108" i="37"/>
  <c r="E108" i="37"/>
  <c r="G111" i="27"/>
  <c r="I111" i="27" s="1"/>
  <c r="D112" i="27"/>
  <c r="E112" i="27"/>
  <c r="G110" i="28"/>
  <c r="I110" i="28" s="1"/>
  <c r="D111" i="28"/>
  <c r="E111" i="28"/>
  <c r="J105" i="40"/>
  <c r="G118" i="7"/>
  <c r="I118" i="7" s="1"/>
  <c r="D119" i="7"/>
  <c r="E119" i="7"/>
  <c r="G117" i="11"/>
  <c r="I117" i="11" s="1"/>
  <c r="D118" i="11"/>
  <c r="E118" i="11"/>
  <c r="G106" i="40"/>
  <c r="I106" i="40" s="1"/>
  <c r="D107" i="40"/>
  <c r="E107" i="40"/>
  <c r="J109" i="29"/>
  <c r="G116" i="8"/>
  <c r="I116" i="8" s="1"/>
  <c r="D117" i="8"/>
  <c r="E117" i="8"/>
  <c r="G116" i="6"/>
  <c r="I116" i="6" s="1"/>
  <c r="D117" i="6"/>
  <c r="E117" i="6"/>
  <c r="G115" i="5"/>
  <c r="D116" i="5"/>
  <c r="E116" i="5"/>
  <c r="G110" i="29"/>
  <c r="I110" i="29" s="1"/>
  <c r="D111" i="29"/>
  <c r="E111" i="29"/>
  <c r="G115" i="4"/>
  <c r="D116" i="4"/>
  <c r="E116" i="4"/>
  <c r="J109" i="28"/>
  <c r="G110" i="31"/>
  <c r="I110" i="31" s="1"/>
  <c r="D111" i="31"/>
  <c r="E111" i="31"/>
  <c r="J108" i="30"/>
  <c r="G114" i="25"/>
  <c r="I114" i="25" s="1"/>
  <c r="D115" i="25"/>
  <c r="E115" i="25"/>
  <c r="J117" i="10"/>
  <c r="J113" i="22"/>
  <c r="J116" i="11"/>
  <c r="G112" i="24"/>
  <c r="I112" i="24" s="1"/>
  <c r="D113" i="24"/>
  <c r="E113" i="24"/>
  <c r="G107" i="43"/>
  <c r="I107" i="43" s="1"/>
  <c r="D108" i="43"/>
  <c r="E108" i="43"/>
  <c r="G109" i="30"/>
  <c r="I109" i="30" s="1"/>
  <c r="D110" i="30"/>
  <c r="E110" i="30"/>
  <c r="G107" i="39"/>
  <c r="I107" i="39" s="1"/>
  <c r="D108" i="39"/>
  <c r="E108" i="39"/>
  <c r="G118" i="10"/>
  <c r="I118" i="10" s="1"/>
  <c r="D119" i="10"/>
  <c r="E119" i="10"/>
  <c r="G114" i="22"/>
  <c r="I114" i="22" s="1"/>
  <c r="D115" i="22"/>
  <c r="E115" i="22"/>
  <c r="J114" i="5"/>
  <c r="G113" i="23"/>
  <c r="I113" i="23" s="1"/>
  <c r="D114" i="23"/>
  <c r="E114" i="23"/>
  <c r="G117" i="9"/>
  <c r="I117" i="9" s="1"/>
  <c r="D118" i="9"/>
  <c r="E118" i="9"/>
  <c r="J114" i="4"/>
  <c r="J109" i="31"/>
  <c r="J113" i="25"/>
  <c r="J106" i="37"/>
  <c r="J111" i="24"/>
  <c r="J117" i="7"/>
  <c r="J116" i="9"/>
  <c r="G115" i="3"/>
  <c r="D116" i="3"/>
  <c r="E116" i="3"/>
  <c r="F111" i="46" l="1"/>
  <c r="D109" i="45"/>
  <c r="G108" i="45"/>
  <c r="I108" i="45" s="1"/>
  <c r="J108" i="45" s="1"/>
  <c r="E109" i="45"/>
  <c r="H111" i="46"/>
  <c r="G111" i="46"/>
  <c r="I111" i="46" s="1"/>
  <c r="J111" i="46" s="1"/>
  <c r="D112" i="46"/>
  <c r="B112" i="46" s="1"/>
  <c r="E112" i="46"/>
  <c r="J110" i="46"/>
  <c r="D110" i="44"/>
  <c r="G109" i="44"/>
  <c r="I109" i="44" s="1"/>
  <c r="J108" i="44"/>
  <c r="J107" i="41"/>
  <c r="D109" i="41"/>
  <c r="G108" i="41"/>
  <c r="I108" i="41" s="1"/>
  <c r="E109" i="41"/>
  <c r="G108" i="38"/>
  <c r="I108" i="38" s="1"/>
  <c r="D109" i="38"/>
  <c r="E109" i="42"/>
  <c r="F109" i="42" s="1"/>
  <c r="H109" i="42" s="1"/>
  <c r="B109" i="42"/>
  <c r="J107" i="38"/>
  <c r="I115" i="3"/>
  <c r="B114" i="23"/>
  <c r="F114" i="23"/>
  <c r="H114" i="23" s="1"/>
  <c r="B115" i="22"/>
  <c r="F115" i="22"/>
  <c r="H115" i="22" s="1"/>
  <c r="B108" i="43"/>
  <c r="F108" i="43"/>
  <c r="H108" i="43" s="1"/>
  <c r="B111" i="29"/>
  <c r="F111" i="29"/>
  <c r="H111" i="29" s="1"/>
  <c r="I115" i="5"/>
  <c r="B118" i="11"/>
  <c r="F118" i="11"/>
  <c r="H118" i="11" s="1"/>
  <c r="B110" i="30"/>
  <c r="F110" i="30"/>
  <c r="H110" i="30" s="1"/>
  <c r="B115" i="25"/>
  <c r="F115" i="25"/>
  <c r="H115" i="25" s="1"/>
  <c r="B111" i="31"/>
  <c r="F111" i="31"/>
  <c r="H111" i="31" s="1"/>
  <c r="B116" i="4"/>
  <c r="F116" i="4"/>
  <c r="H116" i="4" s="1"/>
  <c r="B117" i="8"/>
  <c r="F117" i="8"/>
  <c r="H117" i="8" s="1"/>
  <c r="B107" i="40"/>
  <c r="F107" i="40"/>
  <c r="H107" i="40" s="1"/>
  <c r="B108" i="37"/>
  <c r="F108" i="37"/>
  <c r="H108" i="37" s="1"/>
  <c r="B118" i="9"/>
  <c r="F118" i="9"/>
  <c r="H118" i="9" s="1"/>
  <c r="B108" i="39"/>
  <c r="F108" i="39"/>
  <c r="H108" i="39" s="1"/>
  <c r="I115" i="4"/>
  <c r="B117" i="6"/>
  <c r="F117" i="6"/>
  <c r="H117" i="6" s="1"/>
  <c r="B112" i="27"/>
  <c r="F112" i="27"/>
  <c r="H112" i="27" s="1"/>
  <c r="B116" i="3"/>
  <c r="F116" i="3"/>
  <c r="H116" i="3" s="1"/>
  <c r="B119" i="10"/>
  <c r="F119" i="10"/>
  <c r="H119" i="10" s="1"/>
  <c r="B113" i="24"/>
  <c r="F113" i="24"/>
  <c r="H113" i="24" s="1"/>
  <c r="B116" i="5"/>
  <c r="F116" i="5"/>
  <c r="H116" i="5" s="1"/>
  <c r="B119" i="7"/>
  <c r="F119" i="7"/>
  <c r="H119" i="7" s="1"/>
  <c r="B111" i="28"/>
  <c r="F111" i="28"/>
  <c r="H111" i="28" s="1"/>
  <c r="F109" i="45" l="1"/>
  <c r="G109" i="45" s="1"/>
  <c r="I109" i="45" s="1"/>
  <c r="D110" i="45"/>
  <c r="E110" i="45"/>
  <c r="B109" i="45"/>
  <c r="H109" i="45"/>
  <c r="F112" i="46"/>
  <c r="B109" i="41"/>
  <c r="E110" i="44"/>
  <c r="F110" i="44" s="1"/>
  <c r="H110" i="44" s="1"/>
  <c r="B110" i="44"/>
  <c r="F109" i="41"/>
  <c r="D110" i="41" s="1"/>
  <c r="G109" i="42"/>
  <c r="I109" i="42" s="1"/>
  <c r="D110" i="42"/>
  <c r="J108" i="42"/>
  <c r="E109" i="38"/>
  <c r="F109" i="38" s="1"/>
  <c r="H109" i="38" s="1"/>
  <c r="B109" i="38"/>
  <c r="J109" i="30"/>
  <c r="J117" i="11"/>
  <c r="J107" i="43"/>
  <c r="J118" i="10"/>
  <c r="J115" i="3"/>
  <c r="J118" i="7"/>
  <c r="J111" i="27"/>
  <c r="G119" i="7"/>
  <c r="I119" i="7" s="1"/>
  <c r="D120" i="7"/>
  <c r="E120" i="7"/>
  <c r="G116" i="5"/>
  <c r="D117" i="5"/>
  <c r="E117" i="5"/>
  <c r="J107" i="39"/>
  <c r="G116" i="3"/>
  <c r="D117" i="3"/>
  <c r="E117" i="3"/>
  <c r="G112" i="27"/>
  <c r="I112" i="27" s="1"/>
  <c r="D113" i="27"/>
  <c r="E113" i="27"/>
  <c r="J116" i="8"/>
  <c r="J115" i="4"/>
  <c r="J114" i="25"/>
  <c r="G108" i="39"/>
  <c r="I108" i="39" s="1"/>
  <c r="D109" i="39"/>
  <c r="E109" i="39"/>
  <c r="J114" i="22"/>
  <c r="G108" i="37"/>
  <c r="I108" i="37" s="1"/>
  <c r="D109" i="37"/>
  <c r="E109" i="37"/>
  <c r="G107" i="40"/>
  <c r="I107" i="40" s="1"/>
  <c r="D108" i="40"/>
  <c r="E108" i="40"/>
  <c r="J110" i="29"/>
  <c r="G111" i="31"/>
  <c r="I111" i="31" s="1"/>
  <c r="D112" i="31"/>
  <c r="E112" i="31"/>
  <c r="J113" i="23"/>
  <c r="J115" i="5"/>
  <c r="G114" i="23"/>
  <c r="I114" i="23" s="1"/>
  <c r="D115" i="23"/>
  <c r="E115" i="23"/>
  <c r="J112" i="24"/>
  <c r="G111" i="28"/>
  <c r="I111" i="28" s="1"/>
  <c r="D112" i="28"/>
  <c r="E112" i="28"/>
  <c r="J116" i="6"/>
  <c r="G113" i="24"/>
  <c r="I113" i="24" s="1"/>
  <c r="D114" i="24"/>
  <c r="E114" i="24"/>
  <c r="G119" i="10"/>
  <c r="I119" i="10" s="1"/>
  <c r="D120" i="10"/>
  <c r="E120" i="10"/>
  <c r="J107" i="37"/>
  <c r="J106" i="40"/>
  <c r="G117" i="6"/>
  <c r="I117" i="6" s="1"/>
  <c r="D118" i="6"/>
  <c r="E118" i="6"/>
  <c r="J110" i="31"/>
  <c r="J117" i="9"/>
  <c r="G118" i="9"/>
  <c r="I118" i="9" s="1"/>
  <c r="D119" i="9"/>
  <c r="E119" i="9"/>
  <c r="G117" i="8"/>
  <c r="I117" i="8" s="1"/>
  <c r="D118" i="8"/>
  <c r="E118" i="8"/>
  <c r="G116" i="4"/>
  <c r="D117" i="4"/>
  <c r="E117" i="4"/>
  <c r="G115" i="25"/>
  <c r="I115" i="25" s="1"/>
  <c r="D116" i="25"/>
  <c r="E116" i="25"/>
  <c r="G110" i="30"/>
  <c r="I110" i="30" s="1"/>
  <c r="D111" i="30"/>
  <c r="E111" i="30"/>
  <c r="J110" i="28"/>
  <c r="G118" i="11"/>
  <c r="I118" i="11" s="1"/>
  <c r="D119" i="11"/>
  <c r="E119" i="11"/>
  <c r="G111" i="29"/>
  <c r="I111" i="29" s="1"/>
  <c r="D112" i="29"/>
  <c r="E112" i="29"/>
  <c r="G108" i="43"/>
  <c r="I108" i="43" s="1"/>
  <c r="D109" i="43"/>
  <c r="E109" i="43"/>
  <c r="G115" i="22"/>
  <c r="I115" i="22" s="1"/>
  <c r="D116" i="22"/>
  <c r="E116" i="22"/>
  <c r="B110" i="45" l="1"/>
  <c r="F110" i="45"/>
  <c r="H110" i="45"/>
  <c r="J109" i="45"/>
  <c r="H109" i="41"/>
  <c r="G109" i="41"/>
  <c r="I109" i="41" s="1"/>
  <c r="H112" i="46"/>
  <c r="G112" i="46"/>
  <c r="I112" i="46" s="1"/>
  <c r="D113" i="46"/>
  <c r="E113" i="46"/>
  <c r="G110" i="44"/>
  <c r="I110" i="44" s="1"/>
  <c r="D111" i="44"/>
  <c r="J109" i="44"/>
  <c r="J108" i="38"/>
  <c r="G109" i="38"/>
  <c r="I109" i="38" s="1"/>
  <c r="D110" i="38"/>
  <c r="E110" i="42"/>
  <c r="F110" i="42" s="1"/>
  <c r="H110" i="42" s="1"/>
  <c r="B110" i="42"/>
  <c r="E110" i="41"/>
  <c r="F110" i="41" s="1"/>
  <c r="H110" i="41" s="1"/>
  <c r="B110" i="41"/>
  <c r="J108" i="41"/>
  <c r="B119" i="11"/>
  <c r="F119" i="11"/>
  <c r="H119" i="11" s="1"/>
  <c r="B111" i="30"/>
  <c r="F111" i="30"/>
  <c r="H111" i="30" s="1"/>
  <c r="B119" i="9"/>
  <c r="F119" i="9"/>
  <c r="H119" i="9" s="1"/>
  <c r="B118" i="8"/>
  <c r="F118" i="8"/>
  <c r="H118" i="8" s="1"/>
  <c r="B118" i="6"/>
  <c r="F118" i="6"/>
  <c r="H118" i="6" s="1"/>
  <c r="B114" i="24"/>
  <c r="F114" i="24"/>
  <c r="H114" i="24" s="1"/>
  <c r="B112" i="28"/>
  <c r="F112" i="28"/>
  <c r="H112" i="28" s="1"/>
  <c r="B115" i="23"/>
  <c r="F115" i="23"/>
  <c r="H115" i="23" s="1"/>
  <c r="B109" i="37"/>
  <c r="F109" i="37"/>
  <c r="H109" i="37" s="1"/>
  <c r="B109" i="39"/>
  <c r="F109" i="39"/>
  <c r="H109" i="39" s="1"/>
  <c r="B120" i="7"/>
  <c r="F120" i="7"/>
  <c r="H120" i="7" s="1"/>
  <c r="B117" i="4"/>
  <c r="F117" i="4"/>
  <c r="H117" i="4" s="1"/>
  <c r="B120" i="10"/>
  <c r="F120" i="10"/>
  <c r="H120" i="10" s="1"/>
  <c r="B112" i="31"/>
  <c r="F112" i="31"/>
  <c r="H112" i="31" s="1"/>
  <c r="B108" i="40"/>
  <c r="F108" i="40"/>
  <c r="H108" i="40" s="1"/>
  <c r="B117" i="3"/>
  <c r="F117" i="3"/>
  <c r="H117" i="3" s="1"/>
  <c r="B117" i="5"/>
  <c r="F117" i="5"/>
  <c r="H117" i="5" s="1"/>
  <c r="B112" i="29"/>
  <c r="F112" i="29"/>
  <c r="H112" i="29" s="1"/>
  <c r="B109" i="43"/>
  <c r="F109" i="43"/>
  <c r="H109" i="43" s="1"/>
  <c r="B116" i="22"/>
  <c r="F116" i="22"/>
  <c r="H116" i="22" s="1"/>
  <c r="B116" i="25"/>
  <c r="F116" i="25"/>
  <c r="H116" i="25" s="1"/>
  <c r="I116" i="4"/>
  <c r="B113" i="27"/>
  <c r="F113" i="27"/>
  <c r="H113" i="27" s="1"/>
  <c r="I116" i="3"/>
  <c r="I116" i="5"/>
  <c r="F113" i="46" l="1"/>
  <c r="E111" i="45"/>
  <c r="D111" i="45"/>
  <c r="G110" i="45"/>
  <c r="I110" i="45" s="1"/>
  <c r="J110" i="45" s="1"/>
  <c r="J112" i="46"/>
  <c r="G113" i="46"/>
  <c r="I113" i="46" s="1"/>
  <c r="D114" i="46"/>
  <c r="B114" i="46" s="1"/>
  <c r="E114" i="46"/>
  <c r="F114" i="46" s="1"/>
  <c r="B113" i="46"/>
  <c r="H113" i="46"/>
  <c r="E111" i="44"/>
  <c r="F111" i="44" s="1"/>
  <c r="H111" i="44" s="1"/>
  <c r="B111" i="44"/>
  <c r="J109" i="41"/>
  <c r="G110" i="41"/>
  <c r="I110" i="41" s="1"/>
  <c r="D111" i="41"/>
  <c r="D111" i="42"/>
  <c r="G110" i="42"/>
  <c r="I110" i="42" s="1"/>
  <c r="E111" i="42"/>
  <c r="J109" i="42"/>
  <c r="E110" i="38"/>
  <c r="F110" i="38" s="1"/>
  <c r="H110" i="38" s="1"/>
  <c r="B110" i="38"/>
  <c r="J118" i="9"/>
  <c r="J118" i="11"/>
  <c r="J111" i="31"/>
  <c r="J108" i="37"/>
  <c r="J116" i="5"/>
  <c r="G113" i="27"/>
  <c r="I113" i="27" s="1"/>
  <c r="D114" i="27"/>
  <c r="E114" i="27"/>
  <c r="J116" i="4"/>
  <c r="J108" i="43"/>
  <c r="J117" i="6"/>
  <c r="J111" i="29"/>
  <c r="J110" i="30"/>
  <c r="J119" i="7"/>
  <c r="G117" i="3"/>
  <c r="D118" i="3"/>
  <c r="E118" i="3"/>
  <c r="G112" i="31"/>
  <c r="I112" i="31" s="1"/>
  <c r="D113" i="31"/>
  <c r="E113" i="31"/>
  <c r="J111" i="28"/>
  <c r="G120" i="10"/>
  <c r="I120" i="10" s="1"/>
  <c r="D121" i="10"/>
  <c r="E121" i="10"/>
  <c r="G120" i="7"/>
  <c r="I120" i="7" s="1"/>
  <c r="D121" i="7"/>
  <c r="E121" i="7"/>
  <c r="G109" i="37"/>
  <c r="I109" i="37" s="1"/>
  <c r="D110" i="37"/>
  <c r="E110" i="37"/>
  <c r="G112" i="28"/>
  <c r="I112" i="28" s="1"/>
  <c r="D113" i="28"/>
  <c r="E113" i="28"/>
  <c r="G118" i="6"/>
  <c r="I118" i="6" s="1"/>
  <c r="D119" i="6"/>
  <c r="E119" i="6"/>
  <c r="G118" i="8"/>
  <c r="I118" i="8" s="1"/>
  <c r="D119" i="8"/>
  <c r="E119" i="8"/>
  <c r="G119" i="9"/>
  <c r="I119" i="9" s="1"/>
  <c r="D120" i="9"/>
  <c r="E120" i="9"/>
  <c r="G111" i="30"/>
  <c r="I111" i="30" s="1"/>
  <c r="D112" i="30"/>
  <c r="E112" i="30"/>
  <c r="J115" i="22"/>
  <c r="J116" i="3"/>
  <c r="J107" i="40"/>
  <c r="J119" i="10"/>
  <c r="G116" i="25"/>
  <c r="I116" i="25" s="1"/>
  <c r="D117" i="25"/>
  <c r="E117" i="25"/>
  <c r="G116" i="22"/>
  <c r="I116" i="22" s="1"/>
  <c r="D117" i="22"/>
  <c r="E117" i="22"/>
  <c r="J117" i="8"/>
  <c r="G109" i="43"/>
  <c r="I109" i="43" s="1"/>
  <c r="D110" i="43"/>
  <c r="E110" i="43"/>
  <c r="G112" i="29"/>
  <c r="I112" i="29" s="1"/>
  <c r="D113" i="29"/>
  <c r="E113" i="29"/>
  <c r="G117" i="5"/>
  <c r="D118" i="5"/>
  <c r="E118" i="5"/>
  <c r="J108" i="39"/>
  <c r="G108" i="40"/>
  <c r="I108" i="40" s="1"/>
  <c r="D109" i="40"/>
  <c r="E109" i="40"/>
  <c r="J114" i="23"/>
  <c r="J113" i="24"/>
  <c r="G117" i="4"/>
  <c r="D118" i="4"/>
  <c r="E118" i="4"/>
  <c r="G109" i="39"/>
  <c r="I109" i="39" s="1"/>
  <c r="D110" i="39"/>
  <c r="E110" i="39"/>
  <c r="G115" i="23"/>
  <c r="I115" i="23" s="1"/>
  <c r="D116" i="23"/>
  <c r="E116" i="23"/>
  <c r="G114" i="24"/>
  <c r="I114" i="24" s="1"/>
  <c r="D115" i="24"/>
  <c r="E115" i="24"/>
  <c r="J112" i="27"/>
  <c r="J115" i="25"/>
  <c r="G119" i="11"/>
  <c r="I119" i="11" s="1"/>
  <c r="D120" i="11"/>
  <c r="E120" i="11"/>
  <c r="B111" i="45" l="1"/>
  <c r="F111" i="45"/>
  <c r="B111" i="42"/>
  <c r="H114" i="46"/>
  <c r="D115" i="46"/>
  <c r="B115" i="46" s="1"/>
  <c r="G114" i="46"/>
  <c r="I114" i="46" s="1"/>
  <c r="E115" i="46"/>
  <c r="J113" i="46"/>
  <c r="G111" i="44"/>
  <c r="I111" i="44" s="1"/>
  <c r="D112" i="44"/>
  <c r="E112" i="44"/>
  <c r="J110" i="44"/>
  <c r="D111" i="38"/>
  <c r="G110" i="38"/>
  <c r="I110" i="38" s="1"/>
  <c r="E111" i="38"/>
  <c r="J109" i="38"/>
  <c r="E111" i="41"/>
  <c r="F111" i="41" s="1"/>
  <c r="H111" i="41" s="1"/>
  <c r="B111" i="41"/>
  <c r="F111" i="42"/>
  <c r="H111" i="42" s="1"/>
  <c r="B110" i="39"/>
  <c r="F110" i="39"/>
  <c r="H110" i="39" s="1"/>
  <c r="I117" i="4"/>
  <c r="B109" i="40"/>
  <c r="F109" i="40"/>
  <c r="H109" i="40" s="1"/>
  <c r="B118" i="5"/>
  <c r="F118" i="5"/>
  <c r="H118" i="5" s="1"/>
  <c r="B112" i="30"/>
  <c r="F112" i="30"/>
  <c r="H112" i="30" s="1"/>
  <c r="B113" i="28"/>
  <c r="F113" i="28"/>
  <c r="H113" i="28" s="1"/>
  <c r="B118" i="3"/>
  <c r="F118" i="3"/>
  <c r="H118" i="3" s="1"/>
  <c r="B116" i="23"/>
  <c r="F116" i="23"/>
  <c r="H116" i="23" s="1"/>
  <c r="I117" i="5"/>
  <c r="B117" i="25"/>
  <c r="F117" i="25"/>
  <c r="H117" i="25" s="1"/>
  <c r="B119" i="6"/>
  <c r="F119" i="6"/>
  <c r="H119" i="6" s="1"/>
  <c r="B121" i="10"/>
  <c r="F121" i="10"/>
  <c r="H121" i="10" s="1"/>
  <c r="B113" i="31"/>
  <c r="F113" i="31"/>
  <c r="H113" i="31" s="1"/>
  <c r="I117" i="3"/>
  <c r="B114" i="27"/>
  <c r="F114" i="27"/>
  <c r="H114" i="27" s="1"/>
  <c r="B120" i="11"/>
  <c r="F120" i="11"/>
  <c r="H120" i="11" s="1"/>
  <c r="B115" i="24"/>
  <c r="F115" i="24"/>
  <c r="H115" i="24" s="1"/>
  <c r="B110" i="43"/>
  <c r="F110" i="43"/>
  <c r="H110" i="43" s="1"/>
  <c r="B117" i="22"/>
  <c r="F117" i="22"/>
  <c r="H117" i="22" s="1"/>
  <c r="B119" i="8"/>
  <c r="F119" i="8"/>
  <c r="H119" i="8" s="1"/>
  <c r="B121" i="7"/>
  <c r="F121" i="7"/>
  <c r="H121" i="7" s="1"/>
  <c r="B118" i="4"/>
  <c r="F118" i="4"/>
  <c r="H118" i="4" s="1"/>
  <c r="B113" i="29"/>
  <c r="F113" i="29"/>
  <c r="H113" i="29" s="1"/>
  <c r="B120" i="9"/>
  <c r="F120" i="9"/>
  <c r="H120" i="9" s="1"/>
  <c r="B110" i="37"/>
  <c r="F110" i="37"/>
  <c r="H110" i="37" s="1"/>
  <c r="J114" i="46" l="1"/>
  <c r="H111" i="45"/>
  <c r="D112" i="45"/>
  <c r="E112" i="45"/>
  <c r="G111" i="45"/>
  <c r="I111" i="45" s="1"/>
  <c r="F115" i="46"/>
  <c r="B112" i="44"/>
  <c r="B111" i="38"/>
  <c r="F112" i="44"/>
  <c r="E113" i="44" s="1"/>
  <c r="J110" i="41"/>
  <c r="F111" i="38"/>
  <c r="D112" i="38" s="1"/>
  <c r="D112" i="41"/>
  <c r="G111" i="41"/>
  <c r="I111" i="41" s="1"/>
  <c r="G111" i="42"/>
  <c r="I111" i="42" s="1"/>
  <c r="D112" i="42"/>
  <c r="E112" i="42"/>
  <c r="J110" i="42"/>
  <c r="J117" i="4"/>
  <c r="J108" i="40"/>
  <c r="J117" i="3"/>
  <c r="J109" i="37"/>
  <c r="J112" i="31"/>
  <c r="J120" i="7"/>
  <c r="J118" i="8"/>
  <c r="J116" i="22"/>
  <c r="G113" i="29"/>
  <c r="I113" i="29" s="1"/>
  <c r="D114" i="29"/>
  <c r="E114" i="29"/>
  <c r="J114" i="24"/>
  <c r="G121" i="7"/>
  <c r="I121" i="7" s="1"/>
  <c r="D122" i="7"/>
  <c r="E122" i="7"/>
  <c r="G119" i="8"/>
  <c r="I119" i="8" s="1"/>
  <c r="D120" i="8"/>
  <c r="E120" i="8"/>
  <c r="G117" i="22"/>
  <c r="I117" i="22" s="1"/>
  <c r="D118" i="22"/>
  <c r="E118" i="22"/>
  <c r="J115" i="23"/>
  <c r="J119" i="11"/>
  <c r="G114" i="27"/>
  <c r="I114" i="27" s="1"/>
  <c r="D115" i="27"/>
  <c r="E115" i="27"/>
  <c r="G113" i="31"/>
  <c r="I113" i="31" s="1"/>
  <c r="D114" i="31"/>
  <c r="E114" i="31"/>
  <c r="J112" i="28"/>
  <c r="J111" i="30"/>
  <c r="J117" i="5"/>
  <c r="J109" i="39"/>
  <c r="G118" i="3"/>
  <c r="D119" i="3"/>
  <c r="E119" i="3"/>
  <c r="G113" i="28"/>
  <c r="I113" i="28" s="1"/>
  <c r="D114" i="28"/>
  <c r="E114" i="28"/>
  <c r="G112" i="30"/>
  <c r="I112" i="30" s="1"/>
  <c r="D113" i="30"/>
  <c r="E113" i="30"/>
  <c r="G118" i="5"/>
  <c r="D119" i="5"/>
  <c r="E119" i="5"/>
  <c r="G110" i="37"/>
  <c r="I110" i="37" s="1"/>
  <c r="D111" i="37"/>
  <c r="E111" i="37"/>
  <c r="G120" i="9"/>
  <c r="I120" i="9" s="1"/>
  <c r="D121" i="9"/>
  <c r="E121" i="9"/>
  <c r="J109" i="43"/>
  <c r="G118" i="4"/>
  <c r="D119" i="4"/>
  <c r="E119" i="4"/>
  <c r="J113" i="27"/>
  <c r="J120" i="10"/>
  <c r="J118" i="6"/>
  <c r="J116" i="25"/>
  <c r="G110" i="43"/>
  <c r="I110" i="43" s="1"/>
  <c r="D111" i="43"/>
  <c r="E111" i="43"/>
  <c r="G115" i="24"/>
  <c r="I115" i="24" s="1"/>
  <c r="D116" i="24"/>
  <c r="E116" i="24"/>
  <c r="G120" i="11"/>
  <c r="I120" i="11" s="1"/>
  <c r="D121" i="11"/>
  <c r="E121" i="11"/>
  <c r="G121" i="10"/>
  <c r="I121" i="10" s="1"/>
  <c r="D122" i="10"/>
  <c r="E122" i="10"/>
  <c r="G119" i="6"/>
  <c r="I119" i="6" s="1"/>
  <c r="D120" i="6"/>
  <c r="E120" i="6"/>
  <c r="G117" i="25"/>
  <c r="I117" i="25" s="1"/>
  <c r="D118" i="25"/>
  <c r="E118" i="25"/>
  <c r="G116" i="23"/>
  <c r="I116" i="23" s="1"/>
  <c r="D117" i="23"/>
  <c r="E117" i="23"/>
  <c r="J119" i="9"/>
  <c r="J112" i="29"/>
  <c r="G109" i="40"/>
  <c r="I109" i="40" s="1"/>
  <c r="D110" i="40"/>
  <c r="E110" i="40"/>
  <c r="G110" i="39"/>
  <c r="I110" i="39" s="1"/>
  <c r="D111" i="39"/>
  <c r="E111" i="39"/>
  <c r="J111" i="45" l="1"/>
  <c r="F112" i="45"/>
  <c r="B112" i="45"/>
  <c r="H112" i="45"/>
  <c r="H115" i="46"/>
  <c r="G115" i="46"/>
  <c r="I115" i="46" s="1"/>
  <c r="D116" i="46"/>
  <c r="B116" i="46" s="1"/>
  <c r="E116" i="46"/>
  <c r="B112" i="42"/>
  <c r="H112" i="44"/>
  <c r="B112" i="38"/>
  <c r="H111" i="38"/>
  <c r="D113" i="44"/>
  <c r="G112" i="44"/>
  <c r="I112" i="44" s="1"/>
  <c r="J111" i="44"/>
  <c r="E112" i="38"/>
  <c r="F112" i="38" s="1"/>
  <c r="H112" i="38" s="1"/>
  <c r="G111" i="38"/>
  <c r="I111" i="38" s="1"/>
  <c r="F112" i="42"/>
  <c r="H112" i="42" s="1"/>
  <c r="J110" i="38"/>
  <c r="E112" i="41"/>
  <c r="F112" i="41" s="1"/>
  <c r="H112" i="41" s="1"/>
  <c r="B112" i="41"/>
  <c r="B120" i="6"/>
  <c r="F120" i="6"/>
  <c r="H120" i="6" s="1"/>
  <c r="B111" i="43"/>
  <c r="F111" i="43"/>
  <c r="H111" i="43" s="1"/>
  <c r="I118" i="4"/>
  <c r="B113" i="30"/>
  <c r="F113" i="30"/>
  <c r="H113" i="30" s="1"/>
  <c r="B115" i="27"/>
  <c r="F115" i="27"/>
  <c r="H115" i="27" s="1"/>
  <c r="B120" i="8"/>
  <c r="F120" i="8"/>
  <c r="H120" i="8" s="1"/>
  <c r="B110" i="40"/>
  <c r="F110" i="40"/>
  <c r="H110" i="40" s="1"/>
  <c r="B118" i="25"/>
  <c r="F118" i="25"/>
  <c r="H118" i="25" s="1"/>
  <c r="B116" i="24"/>
  <c r="F116" i="24"/>
  <c r="H116" i="24" s="1"/>
  <c r="B119" i="5"/>
  <c r="F119" i="5"/>
  <c r="H119" i="5" s="1"/>
  <c r="B114" i="31"/>
  <c r="F114" i="31"/>
  <c r="H114" i="31" s="1"/>
  <c r="B118" i="22"/>
  <c r="F118" i="22"/>
  <c r="H118" i="22" s="1"/>
  <c r="B111" i="39"/>
  <c r="F111" i="39"/>
  <c r="H111" i="39" s="1"/>
  <c r="B117" i="23"/>
  <c r="F117" i="23"/>
  <c r="H117" i="23" s="1"/>
  <c r="B121" i="11"/>
  <c r="F121" i="11"/>
  <c r="H121" i="11" s="1"/>
  <c r="B111" i="37"/>
  <c r="F111" i="37"/>
  <c r="H111" i="37" s="1"/>
  <c r="I118" i="5"/>
  <c r="B119" i="3"/>
  <c r="F119" i="3"/>
  <c r="H119" i="3" s="1"/>
  <c r="B122" i="10"/>
  <c r="F122" i="10"/>
  <c r="H122" i="10" s="1"/>
  <c r="B119" i="4"/>
  <c r="F119" i="4"/>
  <c r="H119" i="4" s="1"/>
  <c r="B121" i="9"/>
  <c r="F121" i="9"/>
  <c r="H121" i="9" s="1"/>
  <c r="B114" i="28"/>
  <c r="F114" i="28"/>
  <c r="H114" i="28" s="1"/>
  <c r="I118" i="3"/>
  <c r="B122" i="7"/>
  <c r="F122" i="7"/>
  <c r="H122" i="7" s="1"/>
  <c r="B114" i="29"/>
  <c r="F114" i="29"/>
  <c r="H114" i="29" s="1"/>
  <c r="F116" i="46" l="1"/>
  <c r="H116" i="46" s="1"/>
  <c r="J115" i="46"/>
  <c r="E113" i="45"/>
  <c r="D113" i="45"/>
  <c r="G112" i="45"/>
  <c r="I112" i="45" s="1"/>
  <c r="J112" i="45" s="1"/>
  <c r="E117" i="46"/>
  <c r="B113" i="44"/>
  <c r="F113" i="44"/>
  <c r="G113" i="44" s="1"/>
  <c r="I113" i="44" s="1"/>
  <c r="J112" i="44"/>
  <c r="J111" i="38"/>
  <c r="J111" i="42"/>
  <c r="D113" i="41"/>
  <c r="G112" i="41"/>
  <c r="I112" i="41" s="1"/>
  <c r="J111" i="41"/>
  <c r="J114" i="27"/>
  <c r="D113" i="38"/>
  <c r="G112" i="38"/>
  <c r="I112" i="38" s="1"/>
  <c r="E113" i="38"/>
  <c r="D113" i="42"/>
  <c r="G112" i="42"/>
  <c r="I112" i="42" s="1"/>
  <c r="E113" i="42"/>
  <c r="J110" i="43"/>
  <c r="J120" i="9"/>
  <c r="J113" i="31"/>
  <c r="J118" i="5"/>
  <c r="J118" i="3"/>
  <c r="G114" i="28"/>
  <c r="I114" i="28" s="1"/>
  <c r="D115" i="28"/>
  <c r="E115" i="28"/>
  <c r="J120" i="11"/>
  <c r="G114" i="29"/>
  <c r="I114" i="29" s="1"/>
  <c r="D115" i="29"/>
  <c r="E115" i="29"/>
  <c r="J110" i="37"/>
  <c r="G119" i="4"/>
  <c r="D120" i="4"/>
  <c r="E120" i="4"/>
  <c r="G122" i="10"/>
  <c r="I122" i="10" s="1"/>
  <c r="D123" i="10"/>
  <c r="E123" i="10"/>
  <c r="J117" i="22"/>
  <c r="G119" i="3"/>
  <c r="D120" i="3"/>
  <c r="E120" i="3"/>
  <c r="G111" i="37"/>
  <c r="I111" i="37" s="1"/>
  <c r="D112" i="37"/>
  <c r="E112" i="37"/>
  <c r="G121" i="11"/>
  <c r="I121" i="11" s="1"/>
  <c r="D122" i="11"/>
  <c r="E122" i="11"/>
  <c r="G117" i="23"/>
  <c r="I117" i="23" s="1"/>
  <c r="D118" i="23"/>
  <c r="E118" i="23"/>
  <c r="G111" i="39"/>
  <c r="I111" i="39" s="1"/>
  <c r="D112" i="39"/>
  <c r="E112" i="39"/>
  <c r="G118" i="22"/>
  <c r="I118" i="22" s="1"/>
  <c r="D119" i="22"/>
  <c r="E119" i="22"/>
  <c r="G114" i="31"/>
  <c r="I114" i="31" s="1"/>
  <c r="D115" i="31"/>
  <c r="E115" i="31"/>
  <c r="G119" i="5"/>
  <c r="D120" i="5"/>
  <c r="E120" i="5"/>
  <c r="G116" i="24"/>
  <c r="I116" i="24" s="1"/>
  <c r="D117" i="24"/>
  <c r="E117" i="24"/>
  <c r="G118" i="25"/>
  <c r="I118" i="25" s="1"/>
  <c r="D119" i="25"/>
  <c r="E119" i="25"/>
  <c r="J110" i="39"/>
  <c r="J121" i="7"/>
  <c r="G115" i="27"/>
  <c r="I115" i="27" s="1"/>
  <c r="D116" i="27"/>
  <c r="E116" i="27"/>
  <c r="G113" i="30"/>
  <c r="I113" i="30" s="1"/>
  <c r="D114" i="30"/>
  <c r="E114" i="30"/>
  <c r="J118" i="4"/>
  <c r="J121" i="10"/>
  <c r="G122" i="7"/>
  <c r="I122" i="7" s="1"/>
  <c r="D123" i="7"/>
  <c r="E123" i="7"/>
  <c r="G121" i="9"/>
  <c r="I121" i="9" s="1"/>
  <c r="D122" i="9"/>
  <c r="E122" i="9"/>
  <c r="J115" i="24"/>
  <c r="J117" i="25"/>
  <c r="J109" i="40"/>
  <c r="J119" i="8"/>
  <c r="J112" i="30"/>
  <c r="J119" i="6"/>
  <c r="G110" i="40"/>
  <c r="I110" i="40" s="1"/>
  <c r="D111" i="40"/>
  <c r="E111" i="40"/>
  <c r="J113" i="29"/>
  <c r="G120" i="8"/>
  <c r="I120" i="8" s="1"/>
  <c r="D121" i="8"/>
  <c r="E121" i="8"/>
  <c r="J113" i="28"/>
  <c r="G111" i="43"/>
  <c r="I111" i="43" s="1"/>
  <c r="D112" i="43"/>
  <c r="E112" i="43"/>
  <c r="G120" i="6"/>
  <c r="I120" i="6" s="1"/>
  <c r="D121" i="6"/>
  <c r="E121" i="6"/>
  <c r="J116" i="23"/>
  <c r="D117" i="46" l="1"/>
  <c r="B117" i="46" s="1"/>
  <c r="G116" i="46"/>
  <c r="I116" i="46" s="1"/>
  <c r="J116" i="46" s="1"/>
  <c r="F117" i="46"/>
  <c r="E118" i="46" s="1"/>
  <c r="F113" i="45"/>
  <c r="H113" i="45" s="1"/>
  <c r="B113" i="45"/>
  <c r="B113" i="42"/>
  <c r="E114" i="44"/>
  <c r="D114" i="44"/>
  <c r="H113" i="44"/>
  <c r="B113" i="38"/>
  <c r="F113" i="42"/>
  <c r="G113" i="42" s="1"/>
  <c r="I113" i="42" s="1"/>
  <c r="F113" i="38"/>
  <c r="G113" i="38" s="1"/>
  <c r="I113" i="38" s="1"/>
  <c r="E113" i="41"/>
  <c r="F113" i="41" s="1"/>
  <c r="H113" i="41" s="1"/>
  <c r="B113" i="41"/>
  <c r="B121" i="6"/>
  <c r="F121" i="6"/>
  <c r="H121" i="6" s="1"/>
  <c r="B122" i="9"/>
  <c r="F122" i="9"/>
  <c r="H122" i="9" s="1"/>
  <c r="B114" i="30"/>
  <c r="F114" i="30"/>
  <c r="H114" i="30" s="1"/>
  <c r="B119" i="25"/>
  <c r="F119" i="25"/>
  <c r="H119" i="25" s="1"/>
  <c r="B119" i="22"/>
  <c r="F119" i="22"/>
  <c r="H119" i="22" s="1"/>
  <c r="B112" i="37"/>
  <c r="F112" i="37"/>
  <c r="H112" i="37" s="1"/>
  <c r="I119" i="3"/>
  <c r="B112" i="43"/>
  <c r="F112" i="43"/>
  <c r="H112" i="43" s="1"/>
  <c r="B115" i="31"/>
  <c r="F115" i="31"/>
  <c r="H115" i="31" s="1"/>
  <c r="B122" i="11"/>
  <c r="F122" i="11"/>
  <c r="H122" i="11" s="1"/>
  <c r="B120" i="5"/>
  <c r="F120" i="5"/>
  <c r="H120" i="5" s="1"/>
  <c r="B118" i="23"/>
  <c r="F118" i="23"/>
  <c r="H118" i="23" s="1"/>
  <c r="B120" i="4"/>
  <c r="F120" i="4"/>
  <c r="H120" i="4" s="1"/>
  <c r="B115" i="29"/>
  <c r="F115" i="29"/>
  <c r="H115" i="29" s="1"/>
  <c r="B115" i="28"/>
  <c r="F115" i="28"/>
  <c r="H115" i="28" s="1"/>
  <c r="B121" i="8"/>
  <c r="F121" i="8"/>
  <c r="H121" i="8" s="1"/>
  <c r="B111" i="40"/>
  <c r="F111" i="40"/>
  <c r="H111" i="40" s="1"/>
  <c r="B123" i="7"/>
  <c r="F123" i="7"/>
  <c r="H123" i="7" s="1"/>
  <c r="B116" i="27"/>
  <c r="F116" i="27"/>
  <c r="H116" i="27" s="1"/>
  <c r="B117" i="24"/>
  <c r="F117" i="24"/>
  <c r="H117" i="24" s="1"/>
  <c r="I119" i="5"/>
  <c r="B112" i="39"/>
  <c r="F112" i="39"/>
  <c r="H112" i="39" s="1"/>
  <c r="B120" i="3"/>
  <c r="F120" i="3"/>
  <c r="H120" i="3" s="1"/>
  <c r="B123" i="10"/>
  <c r="F123" i="10"/>
  <c r="H123" i="10" s="1"/>
  <c r="I119" i="4"/>
  <c r="H117" i="46" l="1"/>
  <c r="D118" i="46"/>
  <c r="B118" i="46" s="1"/>
  <c r="G117" i="46"/>
  <c r="I117" i="46" s="1"/>
  <c r="J117" i="46" s="1"/>
  <c r="F114" i="44"/>
  <c r="G114" i="44" s="1"/>
  <c r="I114" i="44" s="1"/>
  <c r="G113" i="45"/>
  <c r="I113" i="45" s="1"/>
  <c r="J113" i="45" s="1"/>
  <c r="D114" i="45"/>
  <c r="E114" i="45"/>
  <c r="H113" i="42"/>
  <c r="B114" i="44"/>
  <c r="H113" i="38"/>
  <c r="D114" i="42"/>
  <c r="B114" i="42" s="1"/>
  <c r="D114" i="38"/>
  <c r="J113" i="44"/>
  <c r="J112" i="42"/>
  <c r="J112" i="38"/>
  <c r="G113" i="41"/>
  <c r="I113" i="41" s="1"/>
  <c r="D114" i="41"/>
  <c r="E114" i="42"/>
  <c r="E114" i="38"/>
  <c r="J112" i="41"/>
  <c r="J121" i="11"/>
  <c r="J111" i="37"/>
  <c r="J118" i="25"/>
  <c r="J119" i="3"/>
  <c r="J111" i="39"/>
  <c r="J115" i="27"/>
  <c r="J122" i="7"/>
  <c r="J110" i="40"/>
  <c r="J111" i="43"/>
  <c r="J120" i="8"/>
  <c r="J114" i="29"/>
  <c r="J119" i="5"/>
  <c r="J113" i="30"/>
  <c r="J114" i="28"/>
  <c r="J119" i="4"/>
  <c r="G120" i="3"/>
  <c r="D121" i="3"/>
  <c r="E121" i="3"/>
  <c r="G112" i="39"/>
  <c r="I112" i="39" s="1"/>
  <c r="D113" i="39"/>
  <c r="E113" i="39"/>
  <c r="G117" i="24"/>
  <c r="I117" i="24" s="1"/>
  <c r="D118" i="24"/>
  <c r="E118" i="24"/>
  <c r="G123" i="7"/>
  <c r="I123" i="7" s="1"/>
  <c r="D124" i="7"/>
  <c r="E124" i="7"/>
  <c r="G121" i="8"/>
  <c r="I121" i="8" s="1"/>
  <c r="D122" i="8"/>
  <c r="E122" i="8"/>
  <c r="G115" i="29"/>
  <c r="I115" i="29" s="1"/>
  <c r="D116" i="29"/>
  <c r="E116" i="29"/>
  <c r="J121" i="9"/>
  <c r="G112" i="43"/>
  <c r="I112" i="43" s="1"/>
  <c r="D113" i="43"/>
  <c r="E113" i="43"/>
  <c r="J114" i="31"/>
  <c r="J118" i="22"/>
  <c r="J116" i="24"/>
  <c r="G123" i="10"/>
  <c r="I123" i="10" s="1"/>
  <c r="D124" i="10"/>
  <c r="E124" i="10"/>
  <c r="J117" i="23"/>
  <c r="G116" i="27"/>
  <c r="I116" i="27" s="1"/>
  <c r="D117" i="27"/>
  <c r="E117" i="27"/>
  <c r="G111" i="40"/>
  <c r="I111" i="40" s="1"/>
  <c r="D112" i="40"/>
  <c r="E112" i="40"/>
  <c r="G115" i="28"/>
  <c r="I115" i="28" s="1"/>
  <c r="D116" i="28"/>
  <c r="E116" i="28"/>
  <c r="G120" i="4"/>
  <c r="D121" i="4"/>
  <c r="E121" i="4"/>
  <c r="G118" i="23"/>
  <c r="I118" i="23" s="1"/>
  <c r="D119" i="23"/>
  <c r="E119" i="23"/>
  <c r="G120" i="5"/>
  <c r="D121" i="5"/>
  <c r="E121" i="5"/>
  <c r="G122" i="11"/>
  <c r="I122" i="11" s="1"/>
  <c r="D123" i="11"/>
  <c r="E123" i="11"/>
  <c r="G115" i="31"/>
  <c r="I115" i="31" s="1"/>
  <c r="D116" i="31"/>
  <c r="E116" i="31"/>
  <c r="J120" i="6"/>
  <c r="J122" i="10"/>
  <c r="G112" i="37"/>
  <c r="I112" i="37" s="1"/>
  <c r="D113" i="37"/>
  <c r="E113" i="37"/>
  <c r="G119" i="22"/>
  <c r="I119" i="22" s="1"/>
  <c r="D120" i="22"/>
  <c r="E120" i="22"/>
  <c r="G119" i="25"/>
  <c r="I119" i="25" s="1"/>
  <c r="D120" i="25"/>
  <c r="E120" i="25"/>
  <c r="G114" i="30"/>
  <c r="I114" i="30" s="1"/>
  <c r="D115" i="30"/>
  <c r="E115" i="30"/>
  <c r="G122" i="9"/>
  <c r="I122" i="9" s="1"/>
  <c r="D123" i="9"/>
  <c r="E123" i="9"/>
  <c r="G121" i="6"/>
  <c r="I121" i="6" s="1"/>
  <c r="D122" i="6"/>
  <c r="E122" i="6"/>
  <c r="H114" i="44" l="1"/>
  <c r="E115" i="44"/>
  <c r="D115" i="44"/>
  <c r="F115" i="44" s="1"/>
  <c r="H115" i="44" s="1"/>
  <c r="F118" i="46"/>
  <c r="D119" i="46" s="1"/>
  <c r="B119" i="46" s="1"/>
  <c r="B114" i="45"/>
  <c r="F114" i="45"/>
  <c r="H114" i="45" s="1"/>
  <c r="F114" i="42"/>
  <c r="G114" i="42" s="1"/>
  <c r="I114" i="42" s="1"/>
  <c r="B115" i="44"/>
  <c r="B114" i="38"/>
  <c r="F114" i="38"/>
  <c r="G114" i="38" s="1"/>
  <c r="I114" i="38" s="1"/>
  <c r="J113" i="38"/>
  <c r="J113" i="42"/>
  <c r="E114" i="41"/>
  <c r="F114" i="41" s="1"/>
  <c r="H114" i="41" s="1"/>
  <c r="B114" i="41"/>
  <c r="B115" i="30"/>
  <c r="F115" i="30"/>
  <c r="H115" i="30" s="1"/>
  <c r="B121" i="5"/>
  <c r="F121" i="5"/>
  <c r="H121" i="5" s="1"/>
  <c r="B112" i="40"/>
  <c r="F112" i="40"/>
  <c r="H112" i="40" s="1"/>
  <c r="B122" i="8"/>
  <c r="F122" i="8"/>
  <c r="H122" i="8" s="1"/>
  <c r="B121" i="3"/>
  <c r="F121" i="3"/>
  <c r="H121" i="3" s="1"/>
  <c r="B123" i="9"/>
  <c r="F123" i="9"/>
  <c r="H123" i="9" s="1"/>
  <c r="B113" i="37"/>
  <c r="F113" i="37"/>
  <c r="H113" i="37" s="1"/>
  <c r="B123" i="11"/>
  <c r="F123" i="11"/>
  <c r="H123" i="11" s="1"/>
  <c r="I120" i="5"/>
  <c r="B116" i="28"/>
  <c r="F116" i="28"/>
  <c r="H116" i="28" s="1"/>
  <c r="B113" i="43"/>
  <c r="F113" i="43"/>
  <c r="H113" i="43" s="1"/>
  <c r="B116" i="29"/>
  <c r="F116" i="29"/>
  <c r="H116" i="29" s="1"/>
  <c r="B113" i="39"/>
  <c r="F113" i="39"/>
  <c r="H113" i="39" s="1"/>
  <c r="I120" i="3"/>
  <c r="B120" i="22"/>
  <c r="F120" i="22"/>
  <c r="H120" i="22" s="1"/>
  <c r="B116" i="31"/>
  <c r="F116" i="31"/>
  <c r="H116" i="31" s="1"/>
  <c r="B121" i="4"/>
  <c r="F121" i="4"/>
  <c r="H121" i="4" s="1"/>
  <c r="B118" i="24"/>
  <c r="F118" i="24"/>
  <c r="H118" i="24" s="1"/>
  <c r="B122" i="6"/>
  <c r="F122" i="6"/>
  <c r="H122" i="6" s="1"/>
  <c r="B120" i="25"/>
  <c r="F120" i="25"/>
  <c r="H120" i="25" s="1"/>
  <c r="B119" i="23"/>
  <c r="F119" i="23"/>
  <c r="H119" i="23" s="1"/>
  <c r="I120" i="4"/>
  <c r="B117" i="27"/>
  <c r="F117" i="27"/>
  <c r="H117" i="27" s="1"/>
  <c r="B124" i="10"/>
  <c r="F124" i="10"/>
  <c r="H124" i="10" s="1"/>
  <c r="B124" i="7"/>
  <c r="F124" i="7"/>
  <c r="H124" i="7" s="1"/>
  <c r="E119" i="46" l="1"/>
  <c r="H118" i="46"/>
  <c r="G118" i="46"/>
  <c r="I118" i="46" s="1"/>
  <c r="J118" i="46" s="1"/>
  <c r="E115" i="42"/>
  <c r="D115" i="42"/>
  <c r="H114" i="42"/>
  <c r="D115" i="38"/>
  <c r="B115" i="38" s="1"/>
  <c r="E115" i="45"/>
  <c r="D115" i="45"/>
  <c r="G114" i="45"/>
  <c r="I114" i="45" s="1"/>
  <c r="J114" i="45" s="1"/>
  <c r="F119" i="46"/>
  <c r="G115" i="44"/>
  <c r="I115" i="44" s="1"/>
  <c r="J115" i="44" s="1"/>
  <c r="D116" i="44"/>
  <c r="B116" i="44" s="1"/>
  <c r="H114" i="38"/>
  <c r="J114" i="44"/>
  <c r="E116" i="44"/>
  <c r="J113" i="41"/>
  <c r="G114" i="41"/>
  <c r="I114" i="41" s="1"/>
  <c r="D115" i="41"/>
  <c r="E115" i="38"/>
  <c r="J112" i="43"/>
  <c r="J120" i="5"/>
  <c r="J116" i="27"/>
  <c r="J117" i="24"/>
  <c r="J120" i="4"/>
  <c r="J119" i="25"/>
  <c r="J122" i="9"/>
  <c r="J115" i="29"/>
  <c r="G124" i="10"/>
  <c r="I124" i="10" s="1"/>
  <c r="D125" i="10"/>
  <c r="E125" i="10"/>
  <c r="J115" i="31"/>
  <c r="G120" i="25"/>
  <c r="I120" i="25" s="1"/>
  <c r="D121" i="25"/>
  <c r="E121" i="25"/>
  <c r="J112" i="39"/>
  <c r="J115" i="28"/>
  <c r="J122" i="11"/>
  <c r="J112" i="37"/>
  <c r="J120" i="3"/>
  <c r="J121" i="8"/>
  <c r="G113" i="43"/>
  <c r="I113" i="43" s="1"/>
  <c r="D114" i="43"/>
  <c r="E114" i="43"/>
  <c r="G116" i="28"/>
  <c r="I116" i="28" s="1"/>
  <c r="D117" i="28"/>
  <c r="E117" i="28"/>
  <c r="G123" i="11"/>
  <c r="I123" i="11" s="1"/>
  <c r="D124" i="11"/>
  <c r="E124" i="11"/>
  <c r="J114" i="30"/>
  <c r="G121" i="3"/>
  <c r="D122" i="3"/>
  <c r="E122" i="3"/>
  <c r="G122" i="8"/>
  <c r="I122" i="8" s="1"/>
  <c r="D123" i="8"/>
  <c r="E123" i="8"/>
  <c r="J118" i="23"/>
  <c r="G124" i="7"/>
  <c r="I124" i="7" s="1"/>
  <c r="D125" i="7"/>
  <c r="E125" i="7"/>
  <c r="G117" i="27"/>
  <c r="I117" i="27" s="1"/>
  <c r="D118" i="27"/>
  <c r="E118" i="27"/>
  <c r="G119" i="23"/>
  <c r="I119" i="23" s="1"/>
  <c r="D120" i="23"/>
  <c r="E120" i="23"/>
  <c r="J119" i="22"/>
  <c r="J121" i="6"/>
  <c r="G122" i="6"/>
  <c r="I122" i="6" s="1"/>
  <c r="D123" i="6"/>
  <c r="E123" i="6"/>
  <c r="G118" i="24"/>
  <c r="I118" i="24" s="1"/>
  <c r="D119" i="24"/>
  <c r="E119" i="24"/>
  <c r="G121" i="4"/>
  <c r="D122" i="4"/>
  <c r="E122" i="4"/>
  <c r="G116" i="31"/>
  <c r="I116" i="31" s="1"/>
  <c r="D117" i="31"/>
  <c r="E117" i="31"/>
  <c r="G120" i="22"/>
  <c r="I120" i="22" s="1"/>
  <c r="D121" i="22"/>
  <c r="E121" i="22"/>
  <c r="G113" i="39"/>
  <c r="I113" i="39" s="1"/>
  <c r="D114" i="39"/>
  <c r="E114" i="39"/>
  <c r="G116" i="29"/>
  <c r="I116" i="29" s="1"/>
  <c r="D117" i="29"/>
  <c r="E117" i="29"/>
  <c r="J111" i="40"/>
  <c r="G113" i="37"/>
  <c r="I113" i="37" s="1"/>
  <c r="D114" i="37"/>
  <c r="E114" i="37"/>
  <c r="G123" i="9"/>
  <c r="I123" i="9" s="1"/>
  <c r="D124" i="9"/>
  <c r="E124" i="9"/>
  <c r="J123" i="7"/>
  <c r="J123" i="10"/>
  <c r="G112" i="40"/>
  <c r="I112" i="40" s="1"/>
  <c r="D113" i="40"/>
  <c r="E113" i="40"/>
  <c r="G121" i="5"/>
  <c r="D122" i="5"/>
  <c r="E122" i="5"/>
  <c r="G115" i="30"/>
  <c r="I115" i="30" s="1"/>
  <c r="D116" i="30"/>
  <c r="E116" i="30"/>
  <c r="F115" i="42" l="1"/>
  <c r="H115" i="42" s="1"/>
  <c r="B115" i="42"/>
  <c r="F115" i="38"/>
  <c r="H115" i="38" s="1"/>
  <c r="B115" i="45"/>
  <c r="F115" i="45"/>
  <c r="H115" i="45" s="1"/>
  <c r="F116" i="44"/>
  <c r="G116" i="44" s="1"/>
  <c r="I116" i="44" s="1"/>
  <c r="H119" i="46"/>
  <c r="D120" i="46"/>
  <c r="B120" i="46" s="1"/>
  <c r="G119" i="46"/>
  <c r="I119" i="46" s="1"/>
  <c r="E120" i="46"/>
  <c r="J114" i="38"/>
  <c r="D116" i="38"/>
  <c r="G115" i="42"/>
  <c r="I115" i="42" s="1"/>
  <c r="D116" i="42"/>
  <c r="E116" i="42"/>
  <c r="J114" i="42"/>
  <c r="E115" i="41"/>
  <c r="F115" i="41" s="1"/>
  <c r="H115" i="41" s="1"/>
  <c r="B115" i="41"/>
  <c r="B116" i="30"/>
  <c r="F116" i="30"/>
  <c r="H116" i="30" s="1"/>
  <c r="B122" i="5"/>
  <c r="F122" i="5"/>
  <c r="H122" i="5" s="1"/>
  <c r="B124" i="9"/>
  <c r="F124" i="9"/>
  <c r="H124" i="9" s="1"/>
  <c r="B117" i="31"/>
  <c r="F117" i="31"/>
  <c r="H117" i="31" s="1"/>
  <c r="I121" i="4"/>
  <c r="B125" i="7"/>
  <c r="F125" i="7"/>
  <c r="H125" i="7" s="1"/>
  <c r="B123" i="8"/>
  <c r="F123" i="8"/>
  <c r="H123" i="8" s="1"/>
  <c r="I121" i="3"/>
  <c r="I121" i="5"/>
  <c r="B121" i="22"/>
  <c r="F121" i="22"/>
  <c r="H121" i="22" s="1"/>
  <c r="B123" i="6"/>
  <c r="F123" i="6"/>
  <c r="H123" i="6" s="1"/>
  <c r="B118" i="27"/>
  <c r="F118" i="27"/>
  <c r="H118" i="27" s="1"/>
  <c r="B114" i="43"/>
  <c r="F114" i="43"/>
  <c r="H114" i="43" s="1"/>
  <c r="B114" i="39"/>
  <c r="F114" i="39"/>
  <c r="H114" i="39" s="1"/>
  <c r="B119" i="24"/>
  <c r="F119" i="24"/>
  <c r="H119" i="24" s="1"/>
  <c r="B120" i="23"/>
  <c r="F120" i="23"/>
  <c r="H120" i="23" s="1"/>
  <c r="B117" i="28"/>
  <c r="F117" i="28"/>
  <c r="H117" i="28" s="1"/>
  <c r="B121" i="25"/>
  <c r="F121" i="25"/>
  <c r="H121" i="25" s="1"/>
  <c r="B125" i="10"/>
  <c r="F125" i="10"/>
  <c r="H125" i="10" s="1"/>
  <c r="B113" i="40"/>
  <c r="F113" i="40"/>
  <c r="H113" i="40" s="1"/>
  <c r="B114" i="37"/>
  <c r="F114" i="37"/>
  <c r="H114" i="37" s="1"/>
  <c r="B117" i="29"/>
  <c r="F117" i="29"/>
  <c r="H117" i="29" s="1"/>
  <c r="B122" i="4"/>
  <c r="F122" i="4"/>
  <c r="H122" i="4" s="1"/>
  <c r="B122" i="3"/>
  <c r="F122" i="3"/>
  <c r="H122" i="3" s="1"/>
  <c r="B124" i="11"/>
  <c r="F124" i="11"/>
  <c r="H124" i="11" s="1"/>
  <c r="G115" i="38" l="1"/>
  <c r="I115" i="38" s="1"/>
  <c r="J119" i="46"/>
  <c r="F120" i="46"/>
  <c r="H120" i="46" s="1"/>
  <c r="D117" i="44"/>
  <c r="B117" i="44" s="1"/>
  <c r="H116" i="44"/>
  <c r="J116" i="44" s="1"/>
  <c r="G115" i="45"/>
  <c r="I115" i="45" s="1"/>
  <c r="J115" i="45" s="1"/>
  <c r="D116" i="45"/>
  <c r="E116" i="45"/>
  <c r="B116" i="42"/>
  <c r="E117" i="44"/>
  <c r="D116" i="41"/>
  <c r="G115" i="41"/>
  <c r="I115" i="41" s="1"/>
  <c r="E116" i="41"/>
  <c r="J114" i="41"/>
  <c r="F116" i="42"/>
  <c r="H116" i="42" s="1"/>
  <c r="E116" i="38"/>
  <c r="F116" i="38" s="1"/>
  <c r="H116" i="38" s="1"/>
  <c r="B116" i="38"/>
  <c r="J123" i="9"/>
  <c r="J124" i="10"/>
  <c r="J116" i="28"/>
  <c r="J118" i="24"/>
  <c r="J113" i="43"/>
  <c r="G122" i="3"/>
  <c r="D123" i="3"/>
  <c r="E123" i="3"/>
  <c r="J113" i="39"/>
  <c r="G114" i="37"/>
  <c r="I114" i="37" s="1"/>
  <c r="D115" i="37"/>
  <c r="E115" i="37"/>
  <c r="G125" i="10"/>
  <c r="I125" i="10" s="1"/>
  <c r="D126" i="10"/>
  <c r="E126" i="10"/>
  <c r="J117" i="27"/>
  <c r="J122" i="6"/>
  <c r="J120" i="22"/>
  <c r="J115" i="30"/>
  <c r="J122" i="8"/>
  <c r="G118" i="27"/>
  <c r="I118" i="27" s="1"/>
  <c r="D119" i="27"/>
  <c r="E119" i="27"/>
  <c r="J116" i="31"/>
  <c r="J123" i="11"/>
  <c r="G123" i="8"/>
  <c r="I123" i="8" s="1"/>
  <c r="D124" i="8"/>
  <c r="E124" i="8"/>
  <c r="J121" i="4"/>
  <c r="J116" i="29"/>
  <c r="G124" i="9"/>
  <c r="I124" i="9" s="1"/>
  <c r="D125" i="9"/>
  <c r="E125" i="9"/>
  <c r="G122" i="5"/>
  <c r="D123" i="5"/>
  <c r="E123" i="5"/>
  <c r="J120" i="25"/>
  <c r="G124" i="11"/>
  <c r="I124" i="11" s="1"/>
  <c r="D125" i="11"/>
  <c r="E125" i="11"/>
  <c r="J119" i="23"/>
  <c r="G122" i="4"/>
  <c r="D123" i="4"/>
  <c r="E123" i="4"/>
  <c r="G117" i="29"/>
  <c r="I117" i="29" s="1"/>
  <c r="D118" i="29"/>
  <c r="E118" i="29"/>
  <c r="G113" i="40"/>
  <c r="I113" i="40" s="1"/>
  <c r="D114" i="40"/>
  <c r="E114" i="40"/>
  <c r="G121" i="25"/>
  <c r="I121" i="25" s="1"/>
  <c r="D122" i="25"/>
  <c r="E122" i="25"/>
  <c r="G117" i="28"/>
  <c r="I117" i="28" s="1"/>
  <c r="D118" i="28"/>
  <c r="E118" i="28"/>
  <c r="G120" i="23"/>
  <c r="I120" i="23" s="1"/>
  <c r="D121" i="23"/>
  <c r="E121" i="23"/>
  <c r="G119" i="24"/>
  <c r="I119" i="24" s="1"/>
  <c r="D120" i="24"/>
  <c r="E120" i="24"/>
  <c r="G114" i="39"/>
  <c r="I114" i="39" s="1"/>
  <c r="D115" i="39"/>
  <c r="E115" i="39"/>
  <c r="G114" i="43"/>
  <c r="I114" i="43" s="1"/>
  <c r="D115" i="43"/>
  <c r="E115" i="43"/>
  <c r="J124" i="7"/>
  <c r="G123" i="6"/>
  <c r="I123" i="6" s="1"/>
  <c r="D124" i="6"/>
  <c r="E124" i="6"/>
  <c r="G121" i="22"/>
  <c r="I121" i="22" s="1"/>
  <c r="D122" i="22"/>
  <c r="E122" i="22"/>
  <c r="J121" i="5"/>
  <c r="J121" i="3"/>
  <c r="G125" i="7"/>
  <c r="I125" i="7" s="1"/>
  <c r="D126" i="7"/>
  <c r="E126" i="7"/>
  <c r="G117" i="31"/>
  <c r="I117" i="31" s="1"/>
  <c r="D118" i="31"/>
  <c r="E118" i="31"/>
  <c r="J113" i="37"/>
  <c r="J112" i="40"/>
  <c r="G116" i="30"/>
  <c r="I116" i="30" s="1"/>
  <c r="D117" i="30"/>
  <c r="E117" i="30"/>
  <c r="E121" i="46" l="1"/>
  <c r="D121" i="46"/>
  <c r="B121" i="46" s="1"/>
  <c r="G120" i="46"/>
  <c r="I120" i="46" s="1"/>
  <c r="J120" i="46" s="1"/>
  <c r="F117" i="44"/>
  <c r="H117" i="44" s="1"/>
  <c r="F116" i="45"/>
  <c r="H116" i="45" s="1"/>
  <c r="B116" i="45"/>
  <c r="B116" i="41"/>
  <c r="F116" i="41"/>
  <c r="G116" i="41" s="1"/>
  <c r="I116" i="41" s="1"/>
  <c r="D117" i="38"/>
  <c r="G116" i="38"/>
  <c r="I116" i="38" s="1"/>
  <c r="J115" i="38"/>
  <c r="G116" i="42"/>
  <c r="I116" i="42" s="1"/>
  <c r="D117" i="42"/>
  <c r="J115" i="42"/>
  <c r="B126" i="7"/>
  <c r="F126" i="7"/>
  <c r="H126" i="7" s="1"/>
  <c r="B115" i="43"/>
  <c r="F115" i="43"/>
  <c r="H115" i="43" s="1"/>
  <c r="B122" i="22"/>
  <c r="F122" i="22"/>
  <c r="H122" i="22" s="1"/>
  <c r="B120" i="24"/>
  <c r="F120" i="24"/>
  <c r="H120" i="24" s="1"/>
  <c r="B114" i="40"/>
  <c r="F114" i="40"/>
  <c r="H114" i="40" s="1"/>
  <c r="B115" i="39"/>
  <c r="F115" i="39"/>
  <c r="H115" i="39" s="1"/>
  <c r="B122" i="25"/>
  <c r="F122" i="25"/>
  <c r="H122" i="25" s="1"/>
  <c r="B125" i="9"/>
  <c r="F125" i="9"/>
  <c r="H125" i="9" s="1"/>
  <c r="B117" i="30"/>
  <c r="F117" i="30"/>
  <c r="H117" i="30" s="1"/>
  <c r="B124" i="6"/>
  <c r="F124" i="6"/>
  <c r="H124" i="6" s="1"/>
  <c r="B118" i="28"/>
  <c r="F118" i="28"/>
  <c r="H118" i="28" s="1"/>
  <c r="B123" i="4"/>
  <c r="F123" i="4"/>
  <c r="H123" i="4" s="1"/>
  <c r="B125" i="11"/>
  <c r="F125" i="11"/>
  <c r="H125" i="11" s="1"/>
  <c r="B123" i="5"/>
  <c r="F123" i="5"/>
  <c r="H123" i="5" s="1"/>
  <c r="B124" i="8"/>
  <c r="F124" i="8"/>
  <c r="H124" i="8" s="1"/>
  <c r="B115" i="37"/>
  <c r="F115" i="37"/>
  <c r="H115" i="37" s="1"/>
  <c r="B123" i="3"/>
  <c r="F123" i="3"/>
  <c r="H123" i="3" s="1"/>
  <c r="B118" i="31"/>
  <c r="F118" i="31"/>
  <c r="H118" i="31" s="1"/>
  <c r="B121" i="23"/>
  <c r="F121" i="23"/>
  <c r="H121" i="23" s="1"/>
  <c r="B118" i="29"/>
  <c r="F118" i="29"/>
  <c r="H118" i="29" s="1"/>
  <c r="I122" i="4"/>
  <c r="I122" i="5"/>
  <c r="B119" i="27"/>
  <c r="F119" i="27"/>
  <c r="H119" i="27" s="1"/>
  <c r="B126" i="10"/>
  <c r="F126" i="10"/>
  <c r="H126" i="10" s="1"/>
  <c r="I122" i="3"/>
  <c r="D118" i="44" l="1"/>
  <c r="F121" i="46"/>
  <c r="E122" i="46" s="1"/>
  <c r="G117" i="44"/>
  <c r="I117" i="44" s="1"/>
  <c r="E118" i="44"/>
  <c r="F118" i="44" s="1"/>
  <c r="G118" i="44" s="1"/>
  <c r="I118" i="44" s="1"/>
  <c r="G116" i="45"/>
  <c r="I116" i="45" s="1"/>
  <c r="J116" i="45" s="1"/>
  <c r="E117" i="45"/>
  <c r="D117" i="45"/>
  <c r="H116" i="41"/>
  <c r="B118" i="44"/>
  <c r="D117" i="41"/>
  <c r="J115" i="41"/>
  <c r="E117" i="42"/>
  <c r="F117" i="42" s="1"/>
  <c r="H117" i="42" s="1"/>
  <c r="B117" i="42"/>
  <c r="E117" i="41"/>
  <c r="E117" i="38"/>
  <c r="F117" i="38" s="1"/>
  <c r="H117" i="38" s="1"/>
  <c r="B117" i="38"/>
  <c r="J121" i="22"/>
  <c r="J118" i="27"/>
  <c r="J125" i="7"/>
  <c r="J114" i="37"/>
  <c r="J122" i="5"/>
  <c r="J122" i="4"/>
  <c r="J117" i="28"/>
  <c r="J124" i="9"/>
  <c r="J114" i="39"/>
  <c r="J113" i="40"/>
  <c r="J119" i="24"/>
  <c r="J117" i="29"/>
  <c r="J120" i="23"/>
  <c r="J122" i="3"/>
  <c r="G126" i="10"/>
  <c r="I126" i="10" s="1"/>
  <c r="D127" i="10"/>
  <c r="E127" i="10"/>
  <c r="J123" i="8"/>
  <c r="J124" i="11"/>
  <c r="G118" i="29"/>
  <c r="I118" i="29" s="1"/>
  <c r="D119" i="29"/>
  <c r="E119" i="29"/>
  <c r="G121" i="23"/>
  <c r="I121" i="23" s="1"/>
  <c r="D122" i="23"/>
  <c r="E122" i="23"/>
  <c r="G123" i="3"/>
  <c r="D124" i="3"/>
  <c r="E124" i="3"/>
  <c r="G124" i="8"/>
  <c r="I124" i="8" s="1"/>
  <c r="D125" i="8"/>
  <c r="E125" i="8"/>
  <c r="G123" i="5"/>
  <c r="D124" i="5"/>
  <c r="E124" i="5"/>
  <c r="G123" i="4"/>
  <c r="D124" i="4"/>
  <c r="E124" i="4"/>
  <c r="G118" i="28"/>
  <c r="I118" i="28" s="1"/>
  <c r="D119" i="28"/>
  <c r="E119" i="28"/>
  <c r="G124" i="6"/>
  <c r="I124" i="6" s="1"/>
  <c r="D125" i="6"/>
  <c r="E125" i="6"/>
  <c r="G125" i="9"/>
  <c r="I125" i="9" s="1"/>
  <c r="D126" i="9"/>
  <c r="E126" i="9"/>
  <c r="G122" i="25"/>
  <c r="I122" i="25" s="1"/>
  <c r="D123" i="25"/>
  <c r="E123" i="25"/>
  <c r="G115" i="39"/>
  <c r="I115" i="39" s="1"/>
  <c r="D116" i="39"/>
  <c r="E116" i="39"/>
  <c r="G114" i="40"/>
  <c r="I114" i="40" s="1"/>
  <c r="D115" i="40"/>
  <c r="E115" i="40"/>
  <c r="G120" i="24"/>
  <c r="I120" i="24" s="1"/>
  <c r="D121" i="24"/>
  <c r="E121" i="24"/>
  <c r="J117" i="31"/>
  <c r="G122" i="22"/>
  <c r="I122" i="22" s="1"/>
  <c r="D123" i="22"/>
  <c r="E123" i="22"/>
  <c r="G115" i="43"/>
  <c r="I115" i="43" s="1"/>
  <c r="D116" i="43"/>
  <c r="E116" i="43"/>
  <c r="G119" i="27"/>
  <c r="I119" i="27" s="1"/>
  <c r="D120" i="27"/>
  <c r="E120" i="27"/>
  <c r="G118" i="31"/>
  <c r="I118" i="31" s="1"/>
  <c r="D119" i="31"/>
  <c r="E119" i="31"/>
  <c r="G115" i="37"/>
  <c r="I115" i="37" s="1"/>
  <c r="D116" i="37"/>
  <c r="E116" i="37"/>
  <c r="G125" i="11"/>
  <c r="I125" i="11" s="1"/>
  <c r="D126" i="11"/>
  <c r="E126" i="11"/>
  <c r="G117" i="30"/>
  <c r="I117" i="30" s="1"/>
  <c r="D118" i="30"/>
  <c r="E118" i="30"/>
  <c r="J114" i="43"/>
  <c r="J116" i="30"/>
  <c r="G126" i="7"/>
  <c r="I126" i="7" s="1"/>
  <c r="D127" i="7"/>
  <c r="E127" i="7"/>
  <c r="J123" i="6"/>
  <c r="J121" i="25"/>
  <c r="J125" i="10"/>
  <c r="H121" i="46" l="1"/>
  <c r="D122" i="46"/>
  <c r="B122" i="46" s="1"/>
  <c r="G121" i="46"/>
  <c r="I121" i="46" s="1"/>
  <c r="J121" i="46" s="1"/>
  <c r="B117" i="45"/>
  <c r="F117" i="45"/>
  <c r="B117" i="41"/>
  <c r="H118" i="44"/>
  <c r="D119" i="44"/>
  <c r="J116" i="42"/>
  <c r="F117" i="41"/>
  <c r="D118" i="41" s="1"/>
  <c r="J116" i="38"/>
  <c r="J117" i="44"/>
  <c r="E119" i="44"/>
  <c r="G117" i="42"/>
  <c r="I117" i="42" s="1"/>
  <c r="D118" i="42"/>
  <c r="D118" i="38"/>
  <c r="G117" i="38"/>
  <c r="I117" i="38" s="1"/>
  <c r="E118" i="38"/>
  <c r="J116" i="41"/>
  <c r="B116" i="37"/>
  <c r="F116" i="37"/>
  <c r="H116" i="37" s="1"/>
  <c r="B123" i="22"/>
  <c r="F123" i="22"/>
  <c r="H123" i="22" s="1"/>
  <c r="B121" i="24"/>
  <c r="F121" i="24"/>
  <c r="H121" i="24" s="1"/>
  <c r="B126" i="9"/>
  <c r="F126" i="9"/>
  <c r="H126" i="9" s="1"/>
  <c r="B124" i="5"/>
  <c r="F124" i="5"/>
  <c r="H124" i="5" s="1"/>
  <c r="B119" i="29"/>
  <c r="F119" i="29"/>
  <c r="H119" i="29" s="1"/>
  <c r="B127" i="7"/>
  <c r="F127" i="7"/>
  <c r="H127" i="7" s="1"/>
  <c r="B126" i="11"/>
  <c r="F126" i="11"/>
  <c r="H126" i="11" s="1"/>
  <c r="B116" i="43"/>
  <c r="F116" i="43"/>
  <c r="H116" i="43" s="1"/>
  <c r="B123" i="25"/>
  <c r="F123" i="25"/>
  <c r="H123" i="25" s="1"/>
  <c r="B124" i="4"/>
  <c r="F124" i="4"/>
  <c r="H124" i="4" s="1"/>
  <c r="I123" i="5"/>
  <c r="B122" i="23"/>
  <c r="F122" i="23"/>
  <c r="H122" i="23" s="1"/>
  <c r="B127" i="10"/>
  <c r="F127" i="10"/>
  <c r="H127" i="10" s="1"/>
  <c r="B118" i="30"/>
  <c r="F118" i="30"/>
  <c r="H118" i="30" s="1"/>
  <c r="B120" i="27"/>
  <c r="F120" i="27"/>
  <c r="H120" i="27" s="1"/>
  <c r="B116" i="39"/>
  <c r="F116" i="39"/>
  <c r="H116" i="39" s="1"/>
  <c r="B119" i="28"/>
  <c r="F119" i="28"/>
  <c r="H119" i="28" s="1"/>
  <c r="I123" i="4"/>
  <c r="B124" i="3"/>
  <c r="F124" i="3"/>
  <c r="H124" i="3" s="1"/>
  <c r="B119" i="31"/>
  <c r="F119" i="31"/>
  <c r="H119" i="31" s="1"/>
  <c r="B115" i="40"/>
  <c r="F115" i="40"/>
  <c r="H115" i="40" s="1"/>
  <c r="B125" i="6"/>
  <c r="F125" i="6"/>
  <c r="H125" i="6" s="1"/>
  <c r="B125" i="8"/>
  <c r="F125" i="8"/>
  <c r="H125" i="8" s="1"/>
  <c r="I123" i="3"/>
  <c r="F122" i="46" l="1"/>
  <c r="H117" i="45"/>
  <c r="G117" i="45"/>
  <c r="I117" i="45" s="1"/>
  <c r="J117" i="45" s="1"/>
  <c r="E118" i="45"/>
  <c r="D118" i="45"/>
  <c r="B118" i="41"/>
  <c r="H117" i="41"/>
  <c r="B119" i="44"/>
  <c r="B118" i="38"/>
  <c r="G117" i="41"/>
  <c r="I117" i="41" s="1"/>
  <c r="F119" i="44"/>
  <c r="D120" i="44" s="1"/>
  <c r="E118" i="41"/>
  <c r="F118" i="41" s="1"/>
  <c r="H118" i="41" s="1"/>
  <c r="J118" i="44"/>
  <c r="F118" i="38"/>
  <c r="E119" i="38" s="1"/>
  <c r="E118" i="42"/>
  <c r="F118" i="42" s="1"/>
  <c r="H118" i="42" s="1"/>
  <c r="B118" i="42"/>
  <c r="J118" i="31"/>
  <c r="J124" i="6"/>
  <c r="J119" i="27"/>
  <c r="J126" i="7"/>
  <c r="J121" i="23"/>
  <c r="J123" i="4"/>
  <c r="J122" i="22"/>
  <c r="J115" i="37"/>
  <c r="J123" i="3"/>
  <c r="J118" i="28"/>
  <c r="J115" i="39"/>
  <c r="J117" i="30"/>
  <c r="J126" i="10"/>
  <c r="G124" i="3"/>
  <c r="D125" i="3"/>
  <c r="E125" i="3"/>
  <c r="G119" i="28"/>
  <c r="I119" i="28" s="1"/>
  <c r="D120" i="28"/>
  <c r="E120" i="28"/>
  <c r="G116" i="39"/>
  <c r="I116" i="39" s="1"/>
  <c r="D117" i="39"/>
  <c r="E117" i="39"/>
  <c r="G120" i="27"/>
  <c r="I120" i="27" s="1"/>
  <c r="D121" i="27"/>
  <c r="E121" i="27"/>
  <c r="G118" i="30"/>
  <c r="I118" i="30" s="1"/>
  <c r="D119" i="30"/>
  <c r="E119" i="30"/>
  <c r="J118" i="29"/>
  <c r="J123" i="5"/>
  <c r="J125" i="9"/>
  <c r="J120" i="24"/>
  <c r="G116" i="43"/>
  <c r="I116" i="43" s="1"/>
  <c r="D117" i="43"/>
  <c r="E117" i="43"/>
  <c r="G126" i="11"/>
  <c r="I126" i="11" s="1"/>
  <c r="D127" i="11"/>
  <c r="E127" i="11"/>
  <c r="G119" i="29"/>
  <c r="I119" i="29" s="1"/>
  <c r="D120" i="29"/>
  <c r="E120" i="29"/>
  <c r="G124" i="5"/>
  <c r="D125" i="5"/>
  <c r="E125" i="5"/>
  <c r="G126" i="9"/>
  <c r="I126" i="9" s="1"/>
  <c r="D127" i="9"/>
  <c r="E127" i="9"/>
  <c r="G121" i="24"/>
  <c r="I121" i="24" s="1"/>
  <c r="D122" i="24"/>
  <c r="E122" i="24"/>
  <c r="G125" i="8"/>
  <c r="I125" i="8" s="1"/>
  <c r="D126" i="8"/>
  <c r="G125" i="6"/>
  <c r="I125" i="6" s="1"/>
  <c r="D126" i="6"/>
  <c r="E126" i="6"/>
  <c r="G115" i="40"/>
  <c r="I115" i="40" s="1"/>
  <c r="D116" i="40"/>
  <c r="E116" i="40"/>
  <c r="G119" i="31"/>
  <c r="I119" i="31" s="1"/>
  <c r="D120" i="31"/>
  <c r="E120" i="31"/>
  <c r="J122" i="25"/>
  <c r="J115" i="43"/>
  <c r="J125" i="11"/>
  <c r="G127" i="10"/>
  <c r="I127" i="10" s="1"/>
  <c r="D128" i="10"/>
  <c r="E128" i="10"/>
  <c r="G122" i="23"/>
  <c r="I122" i="23" s="1"/>
  <c r="D123" i="23"/>
  <c r="E123" i="23"/>
  <c r="G124" i="4"/>
  <c r="D125" i="4"/>
  <c r="E125" i="4"/>
  <c r="G123" i="25"/>
  <c r="I123" i="25" s="1"/>
  <c r="D124" i="25"/>
  <c r="E124" i="25"/>
  <c r="G127" i="7"/>
  <c r="I127" i="7" s="1"/>
  <c r="D128" i="7"/>
  <c r="E128" i="7"/>
  <c r="J114" i="40"/>
  <c r="G123" i="22"/>
  <c r="I123" i="22" s="1"/>
  <c r="D124" i="22"/>
  <c r="E124" i="22"/>
  <c r="G116" i="37"/>
  <c r="I116" i="37" s="1"/>
  <c r="D117" i="37"/>
  <c r="E117" i="37"/>
  <c r="J124" i="8"/>
  <c r="G122" i="46" l="1"/>
  <c r="I122" i="46" s="1"/>
  <c r="E123" i="46"/>
  <c r="D123" i="46"/>
  <c r="H122" i="46"/>
  <c r="B118" i="45"/>
  <c r="F118" i="45"/>
  <c r="E126" i="8"/>
  <c r="F126" i="8" s="1"/>
  <c r="H126" i="8" s="1"/>
  <c r="B120" i="44"/>
  <c r="H119" i="44"/>
  <c r="H118" i="38"/>
  <c r="E120" i="44"/>
  <c r="F120" i="44" s="1"/>
  <c r="D121" i="44" s="1"/>
  <c r="D119" i="38"/>
  <c r="F119" i="38" s="1"/>
  <c r="G119" i="38" s="1"/>
  <c r="I119" i="38" s="1"/>
  <c r="G119" i="44"/>
  <c r="I119" i="44" s="1"/>
  <c r="G118" i="38"/>
  <c r="I118" i="38" s="1"/>
  <c r="G118" i="42"/>
  <c r="I118" i="42" s="1"/>
  <c r="D119" i="42"/>
  <c r="E119" i="42"/>
  <c r="D119" i="41"/>
  <c r="G118" i="41"/>
  <c r="I118" i="41" s="1"/>
  <c r="J117" i="41"/>
  <c r="J117" i="42"/>
  <c r="J117" i="38"/>
  <c r="B124" i="25"/>
  <c r="F124" i="25"/>
  <c r="H124" i="25" s="1"/>
  <c r="I124" i="4"/>
  <c r="B126" i="8"/>
  <c r="B120" i="29"/>
  <c r="F120" i="29"/>
  <c r="H120" i="29" s="1"/>
  <c r="B121" i="27"/>
  <c r="F121" i="27"/>
  <c r="H121" i="27" s="1"/>
  <c r="B128" i="7"/>
  <c r="F128" i="7"/>
  <c r="H128" i="7" s="1"/>
  <c r="B128" i="10"/>
  <c r="F128" i="10"/>
  <c r="H128" i="10" s="1"/>
  <c r="B126" i="6"/>
  <c r="F126" i="6"/>
  <c r="H126" i="6" s="1"/>
  <c r="B125" i="5"/>
  <c r="F125" i="5"/>
  <c r="H125" i="5" s="1"/>
  <c r="B119" i="30"/>
  <c r="F119" i="30"/>
  <c r="H119" i="30" s="1"/>
  <c r="B125" i="3"/>
  <c r="F125" i="3"/>
  <c r="H125" i="3" s="1"/>
  <c r="B124" i="22"/>
  <c r="F124" i="22"/>
  <c r="H124" i="22" s="1"/>
  <c r="B117" i="37"/>
  <c r="F117" i="37"/>
  <c r="H117" i="37" s="1"/>
  <c r="B123" i="23"/>
  <c r="F123" i="23"/>
  <c r="H123" i="23" s="1"/>
  <c r="B116" i="40"/>
  <c r="F116" i="40"/>
  <c r="H116" i="40" s="1"/>
  <c r="B127" i="9"/>
  <c r="F127" i="9"/>
  <c r="H127" i="9" s="1"/>
  <c r="I124" i="5"/>
  <c r="B117" i="43"/>
  <c r="F117" i="43"/>
  <c r="H117" i="43" s="1"/>
  <c r="B120" i="28"/>
  <c r="F120" i="28"/>
  <c r="H120" i="28" s="1"/>
  <c r="I124" i="3"/>
  <c r="B125" i="4"/>
  <c r="F125" i="4"/>
  <c r="H125" i="4" s="1"/>
  <c r="B120" i="31"/>
  <c r="F120" i="31"/>
  <c r="H120" i="31" s="1"/>
  <c r="B122" i="24"/>
  <c r="F122" i="24"/>
  <c r="H122" i="24" s="1"/>
  <c r="B127" i="11"/>
  <c r="F127" i="11"/>
  <c r="H127" i="11" s="1"/>
  <c r="B117" i="39"/>
  <c r="F117" i="39"/>
  <c r="H117" i="39" s="1"/>
  <c r="B123" i="46" l="1"/>
  <c r="F123" i="46"/>
  <c r="J122" i="46"/>
  <c r="H118" i="45"/>
  <c r="G118" i="45"/>
  <c r="I118" i="45" s="1"/>
  <c r="D119" i="45"/>
  <c r="E119" i="45"/>
  <c r="B119" i="42"/>
  <c r="H120" i="44"/>
  <c r="B121" i="44"/>
  <c r="B119" i="38"/>
  <c r="H119" i="38"/>
  <c r="D120" i="38"/>
  <c r="E121" i="44"/>
  <c r="F121" i="44" s="1"/>
  <c r="G121" i="44" s="1"/>
  <c r="I121" i="44" s="1"/>
  <c r="G120" i="44"/>
  <c r="I120" i="44" s="1"/>
  <c r="F119" i="42"/>
  <c r="G119" i="42" s="1"/>
  <c r="I119" i="42" s="1"/>
  <c r="J119" i="44"/>
  <c r="J118" i="38"/>
  <c r="E120" i="38"/>
  <c r="E119" i="41"/>
  <c r="F119" i="41" s="1"/>
  <c r="H119" i="41" s="1"/>
  <c r="B119" i="41"/>
  <c r="J119" i="28"/>
  <c r="J120" i="27"/>
  <c r="J115" i="40"/>
  <c r="J118" i="30"/>
  <c r="J124" i="5"/>
  <c r="J125" i="6"/>
  <c r="J124" i="4"/>
  <c r="J116" i="37"/>
  <c r="J116" i="43"/>
  <c r="J126" i="9"/>
  <c r="J122" i="23"/>
  <c r="J124" i="3"/>
  <c r="J127" i="10"/>
  <c r="J127" i="7"/>
  <c r="G117" i="37"/>
  <c r="I117" i="37" s="1"/>
  <c r="D118" i="37"/>
  <c r="E118" i="37"/>
  <c r="G124" i="22"/>
  <c r="I124" i="22" s="1"/>
  <c r="D125" i="22"/>
  <c r="J119" i="29"/>
  <c r="J125" i="8"/>
  <c r="G128" i="10"/>
  <c r="I128" i="10" s="1"/>
  <c r="D129" i="10"/>
  <c r="J116" i="39"/>
  <c r="J126" i="11"/>
  <c r="J121" i="24"/>
  <c r="J119" i="31"/>
  <c r="G124" i="25"/>
  <c r="I124" i="25" s="1"/>
  <c r="D125" i="25"/>
  <c r="E125" i="25"/>
  <c r="G117" i="39"/>
  <c r="I117" i="39" s="1"/>
  <c r="D118" i="39"/>
  <c r="E118" i="39"/>
  <c r="D128" i="11"/>
  <c r="G127" i="11"/>
  <c r="I127" i="11" s="1"/>
  <c r="G122" i="24"/>
  <c r="I122" i="24" s="1"/>
  <c r="D123" i="24"/>
  <c r="E123" i="24"/>
  <c r="G120" i="31"/>
  <c r="I120" i="31" s="1"/>
  <c r="D121" i="31"/>
  <c r="E121" i="31"/>
  <c r="G125" i="4"/>
  <c r="D126" i="4"/>
  <c r="E126" i="4"/>
  <c r="G120" i="28"/>
  <c r="I120" i="28" s="1"/>
  <c r="D121" i="28"/>
  <c r="E121" i="28"/>
  <c r="G117" i="43"/>
  <c r="I117" i="43" s="1"/>
  <c r="D118" i="43"/>
  <c r="E118" i="43"/>
  <c r="G127" i="9"/>
  <c r="I127" i="9" s="1"/>
  <c r="D128" i="9"/>
  <c r="G116" i="40"/>
  <c r="I116" i="40" s="1"/>
  <c r="D117" i="40"/>
  <c r="E117" i="40"/>
  <c r="G123" i="23"/>
  <c r="I123" i="23" s="1"/>
  <c r="D124" i="23"/>
  <c r="E124" i="23"/>
  <c r="J123" i="22"/>
  <c r="J123" i="25"/>
  <c r="G125" i="3"/>
  <c r="D126" i="3"/>
  <c r="E126" i="3"/>
  <c r="G119" i="30"/>
  <c r="I119" i="30" s="1"/>
  <c r="D120" i="30"/>
  <c r="E120" i="30"/>
  <c r="G125" i="5"/>
  <c r="D126" i="5"/>
  <c r="G126" i="6"/>
  <c r="I126" i="6" s="1"/>
  <c r="D127" i="6"/>
  <c r="G128" i="7"/>
  <c r="I128" i="7" s="1"/>
  <c r="D129" i="7"/>
  <c r="G121" i="27"/>
  <c r="I121" i="27" s="1"/>
  <c r="D122" i="27"/>
  <c r="E122" i="27"/>
  <c r="G120" i="29"/>
  <c r="I120" i="29" s="1"/>
  <c r="D121" i="29"/>
  <c r="E121" i="29"/>
  <c r="G126" i="8"/>
  <c r="I126" i="8" s="1"/>
  <c r="D127" i="8"/>
  <c r="E124" i="46" l="1"/>
  <c r="H123" i="46"/>
  <c r="D124" i="46"/>
  <c r="G123" i="46"/>
  <c r="I123" i="46" s="1"/>
  <c r="J123" i="46" s="1"/>
  <c r="J118" i="45"/>
  <c r="F119" i="45"/>
  <c r="H119" i="45" s="1"/>
  <c r="B119" i="45"/>
  <c r="E127" i="8"/>
  <c r="F127" i="8" s="1"/>
  <c r="H127" i="8" s="1"/>
  <c r="E129" i="7"/>
  <c r="F129" i="7" s="1"/>
  <c r="H129" i="7" s="1"/>
  <c r="E127" i="6"/>
  <c r="F127" i="6" s="1"/>
  <c r="H127" i="6" s="1"/>
  <c r="E128" i="11"/>
  <c r="F128" i="11" s="1"/>
  <c r="H128" i="11" s="1"/>
  <c r="E126" i="5"/>
  <c r="E128" i="9"/>
  <c r="F128" i="9" s="1"/>
  <c r="H128" i="9" s="1"/>
  <c r="E129" i="10"/>
  <c r="F129" i="10" s="1"/>
  <c r="H129" i="10" s="1"/>
  <c r="E125" i="22"/>
  <c r="H119" i="42"/>
  <c r="H121" i="44"/>
  <c r="B120" i="38"/>
  <c r="F120" i="38"/>
  <c r="G120" i="38" s="1"/>
  <c r="I120" i="38" s="1"/>
  <c r="J118" i="41"/>
  <c r="J119" i="38"/>
  <c r="D122" i="44"/>
  <c r="J120" i="44"/>
  <c r="D120" i="42"/>
  <c r="J118" i="42"/>
  <c r="D120" i="41"/>
  <c r="G119" i="41"/>
  <c r="I119" i="41" s="1"/>
  <c r="E120" i="42"/>
  <c r="B127" i="8"/>
  <c r="B129" i="7"/>
  <c r="B126" i="3"/>
  <c r="F126" i="3"/>
  <c r="H126" i="3" s="1"/>
  <c r="B117" i="40"/>
  <c r="F117" i="40"/>
  <c r="H117" i="40" s="1"/>
  <c r="B126" i="4"/>
  <c r="F126" i="4"/>
  <c r="H126" i="4" s="1"/>
  <c r="B118" i="39"/>
  <c r="F118" i="39"/>
  <c r="H118" i="39" s="1"/>
  <c r="B121" i="29"/>
  <c r="F121" i="29"/>
  <c r="H121" i="29" s="1"/>
  <c r="B122" i="27"/>
  <c r="F122" i="27"/>
  <c r="H122" i="27" s="1"/>
  <c r="B120" i="30"/>
  <c r="F120" i="30"/>
  <c r="H120" i="30" s="1"/>
  <c r="I125" i="3"/>
  <c r="B124" i="23"/>
  <c r="F124" i="23"/>
  <c r="H124" i="23" s="1"/>
  <c r="B121" i="28"/>
  <c r="F121" i="28"/>
  <c r="H121" i="28" s="1"/>
  <c r="I125" i="4"/>
  <c r="B126" i="5"/>
  <c r="F126" i="5"/>
  <c r="H126" i="5" s="1"/>
  <c r="B118" i="43"/>
  <c r="F118" i="43"/>
  <c r="H118" i="43" s="1"/>
  <c r="B123" i="24"/>
  <c r="F123" i="24"/>
  <c r="H123" i="24" s="1"/>
  <c r="B128" i="11"/>
  <c r="B129" i="10"/>
  <c r="B118" i="37"/>
  <c r="F118" i="37"/>
  <c r="H118" i="37" s="1"/>
  <c r="B127" i="6"/>
  <c r="I125" i="5"/>
  <c r="B128" i="9"/>
  <c r="B121" i="31"/>
  <c r="F121" i="31"/>
  <c r="H121" i="31" s="1"/>
  <c r="B125" i="25"/>
  <c r="F125" i="25"/>
  <c r="H125" i="25" s="1"/>
  <c r="B125" i="22"/>
  <c r="F125" i="22"/>
  <c r="H125" i="22" s="1"/>
  <c r="F124" i="46" l="1"/>
  <c r="B124" i="46"/>
  <c r="E121" i="38"/>
  <c r="D120" i="45"/>
  <c r="G119" i="45"/>
  <c r="I119" i="45" s="1"/>
  <c r="J119" i="45" s="1"/>
  <c r="E120" i="45"/>
  <c r="D121" i="38"/>
  <c r="B121" i="38" s="1"/>
  <c r="H120" i="38"/>
  <c r="B120" i="42"/>
  <c r="B122" i="44"/>
  <c r="E122" i="44"/>
  <c r="F122" i="44" s="1"/>
  <c r="F120" i="42"/>
  <c r="G120" i="42" s="1"/>
  <c r="I120" i="42" s="1"/>
  <c r="J121" i="44"/>
  <c r="J119" i="42"/>
  <c r="E120" i="41"/>
  <c r="F120" i="41" s="1"/>
  <c r="H120" i="41" s="1"/>
  <c r="B120" i="41"/>
  <c r="J125" i="4"/>
  <c r="J121" i="27"/>
  <c r="J124" i="22"/>
  <c r="J117" i="37"/>
  <c r="J128" i="10"/>
  <c r="J122" i="24"/>
  <c r="J117" i="43"/>
  <c r="J125" i="5"/>
  <c r="J120" i="29"/>
  <c r="G129" i="10"/>
  <c r="I129" i="10" s="1"/>
  <c r="D130" i="10"/>
  <c r="G123" i="24"/>
  <c r="I123" i="24" s="1"/>
  <c r="D124" i="24"/>
  <c r="G118" i="43"/>
  <c r="I118" i="43" s="1"/>
  <c r="D119" i="43"/>
  <c r="E119" i="43"/>
  <c r="J119" i="30"/>
  <c r="J127" i="11"/>
  <c r="G121" i="28"/>
  <c r="I121" i="28" s="1"/>
  <c r="D122" i="28"/>
  <c r="E122" i="28"/>
  <c r="G124" i="23"/>
  <c r="I124" i="23" s="1"/>
  <c r="D125" i="23"/>
  <c r="G120" i="30"/>
  <c r="I120" i="30" s="1"/>
  <c r="D121" i="30"/>
  <c r="E121" i="30"/>
  <c r="G122" i="27"/>
  <c r="I122" i="27" s="1"/>
  <c r="D123" i="27"/>
  <c r="G118" i="39"/>
  <c r="I118" i="39" s="1"/>
  <c r="D119" i="39"/>
  <c r="E119" i="39"/>
  <c r="G126" i="4"/>
  <c r="D127" i="4"/>
  <c r="G117" i="40"/>
  <c r="I117" i="40" s="1"/>
  <c r="D118" i="40"/>
  <c r="E118" i="40"/>
  <c r="J126" i="6"/>
  <c r="J126" i="8"/>
  <c r="G125" i="22"/>
  <c r="I125" i="22" s="1"/>
  <c r="D126" i="22"/>
  <c r="G125" i="25"/>
  <c r="I125" i="25" s="1"/>
  <c r="D126" i="25"/>
  <c r="E126" i="25"/>
  <c r="G121" i="31"/>
  <c r="I121" i="31" s="1"/>
  <c r="D122" i="31"/>
  <c r="E122" i="31"/>
  <c r="G128" i="9"/>
  <c r="I128" i="9" s="1"/>
  <c r="D129" i="9"/>
  <c r="G127" i="6"/>
  <c r="I127" i="6" s="1"/>
  <c r="D128" i="6"/>
  <c r="E128" i="6"/>
  <c r="G118" i="37"/>
  <c r="I118" i="37" s="1"/>
  <c r="D119" i="37"/>
  <c r="E119" i="37"/>
  <c r="G128" i="11"/>
  <c r="I128" i="11" s="1"/>
  <c r="D129" i="11"/>
  <c r="J120" i="28"/>
  <c r="J123" i="23"/>
  <c r="G126" i="5"/>
  <c r="D127" i="5"/>
  <c r="E127" i="5"/>
  <c r="J117" i="39"/>
  <c r="J116" i="40"/>
  <c r="J125" i="3"/>
  <c r="J128" i="7"/>
  <c r="G121" i="29"/>
  <c r="I121" i="29" s="1"/>
  <c r="D122" i="29"/>
  <c r="E122" i="29"/>
  <c r="J124" i="25"/>
  <c r="J120" i="31"/>
  <c r="J127" i="9"/>
  <c r="G126" i="3"/>
  <c r="D127" i="3"/>
  <c r="E127" i="3"/>
  <c r="G129" i="7"/>
  <c r="I129" i="7" s="1"/>
  <c r="D130" i="7"/>
  <c r="E130" i="7"/>
  <c r="G127" i="8"/>
  <c r="I127" i="8" s="1"/>
  <c r="D128" i="8"/>
  <c r="H124" i="46" l="1"/>
  <c r="D125" i="46"/>
  <c r="G124" i="46"/>
  <c r="I124" i="46" s="1"/>
  <c r="J124" i="46" s="1"/>
  <c r="E125" i="46"/>
  <c r="F120" i="45"/>
  <c r="D121" i="45" s="1"/>
  <c r="E121" i="45"/>
  <c r="G120" i="45"/>
  <c r="I120" i="45" s="1"/>
  <c r="F121" i="38"/>
  <c r="H121" i="38" s="1"/>
  <c r="B120" i="45"/>
  <c r="H120" i="45"/>
  <c r="E129" i="11"/>
  <c r="F129" i="11" s="1"/>
  <c r="H129" i="11" s="1"/>
  <c r="E129" i="9"/>
  <c r="F129" i="9" s="1"/>
  <c r="H129" i="9" s="1"/>
  <c r="E126" i="22"/>
  <c r="F126" i="22" s="1"/>
  <c r="H126" i="22" s="1"/>
  <c r="E123" i="27"/>
  <c r="H120" i="42"/>
  <c r="E127" i="4"/>
  <c r="F127" i="4" s="1"/>
  <c r="H127" i="4" s="1"/>
  <c r="E128" i="8"/>
  <c r="F128" i="8" s="1"/>
  <c r="H128" i="8" s="1"/>
  <c r="E125" i="23"/>
  <c r="F125" i="23" s="1"/>
  <c r="H125" i="23" s="1"/>
  <c r="E130" i="10"/>
  <c r="F130" i="10" s="1"/>
  <c r="H130" i="10" s="1"/>
  <c r="D123" i="44"/>
  <c r="H122" i="44"/>
  <c r="E124" i="24"/>
  <c r="F124" i="24" s="1"/>
  <c r="H124" i="24" s="1"/>
  <c r="D121" i="42"/>
  <c r="E123" i="44"/>
  <c r="G122" i="44"/>
  <c r="I122" i="44" s="1"/>
  <c r="J120" i="38"/>
  <c r="D121" i="41"/>
  <c r="G120" i="41"/>
  <c r="I120" i="41" s="1"/>
  <c r="E121" i="42"/>
  <c r="J119" i="41"/>
  <c r="B128" i="8"/>
  <c r="B122" i="29"/>
  <c r="F122" i="29"/>
  <c r="H122" i="29" s="1"/>
  <c r="I126" i="5"/>
  <c r="B129" i="11"/>
  <c r="B122" i="31"/>
  <c r="F122" i="31"/>
  <c r="H122" i="31" s="1"/>
  <c r="B123" i="27"/>
  <c r="F123" i="27"/>
  <c r="H123" i="27" s="1"/>
  <c r="B130" i="10"/>
  <c r="B129" i="9"/>
  <c r="B119" i="39"/>
  <c r="F119" i="39"/>
  <c r="H119" i="39" s="1"/>
  <c r="B122" i="28"/>
  <c r="F122" i="28"/>
  <c r="H122" i="28" s="1"/>
  <c r="B124" i="24"/>
  <c r="B127" i="3"/>
  <c r="F127" i="3"/>
  <c r="H127" i="3" s="1"/>
  <c r="B128" i="6"/>
  <c r="F128" i="6"/>
  <c r="H128" i="6" s="1"/>
  <c r="B126" i="22"/>
  <c r="B127" i="4"/>
  <c r="B125" i="23"/>
  <c r="B119" i="43"/>
  <c r="F119" i="43"/>
  <c r="H119" i="43" s="1"/>
  <c r="B130" i="7"/>
  <c r="F130" i="7"/>
  <c r="H130" i="7" s="1"/>
  <c r="I126" i="3"/>
  <c r="B127" i="5"/>
  <c r="F127" i="5"/>
  <c r="H127" i="5" s="1"/>
  <c r="B119" i="37"/>
  <c r="F119" i="37"/>
  <c r="H119" i="37" s="1"/>
  <c r="B126" i="25"/>
  <c r="F126" i="25"/>
  <c r="H126" i="25" s="1"/>
  <c r="B118" i="40"/>
  <c r="F118" i="40"/>
  <c r="H118" i="40" s="1"/>
  <c r="I126" i="4"/>
  <c r="B121" i="30"/>
  <c r="F121" i="30"/>
  <c r="H121" i="30" s="1"/>
  <c r="F125" i="46" l="1"/>
  <c r="B125" i="46"/>
  <c r="J120" i="45"/>
  <c r="G121" i="38"/>
  <c r="I121" i="38" s="1"/>
  <c r="F121" i="42"/>
  <c r="H121" i="42" s="1"/>
  <c r="D122" i="38"/>
  <c r="B122" i="38" s="1"/>
  <c r="F123" i="44"/>
  <c r="D124" i="44" s="1"/>
  <c r="B124" i="44" s="1"/>
  <c r="B121" i="45"/>
  <c r="F121" i="45"/>
  <c r="H121" i="45" s="1"/>
  <c r="B121" i="42"/>
  <c r="B121" i="41"/>
  <c r="B123" i="44"/>
  <c r="J122" i="44"/>
  <c r="E121" i="41"/>
  <c r="F121" i="41" s="1"/>
  <c r="H121" i="41" s="1"/>
  <c r="E122" i="42"/>
  <c r="J120" i="42"/>
  <c r="E122" i="38"/>
  <c r="J125" i="22"/>
  <c r="J125" i="25"/>
  <c r="J118" i="37"/>
  <c r="J129" i="7"/>
  <c r="J127" i="6"/>
  <c r="J127" i="8"/>
  <c r="J121" i="28"/>
  <c r="J121" i="29"/>
  <c r="J124" i="23"/>
  <c r="J128" i="9"/>
  <c r="J122" i="27"/>
  <c r="J121" i="31"/>
  <c r="J118" i="43"/>
  <c r="G121" i="30"/>
  <c r="I121" i="30" s="1"/>
  <c r="D122" i="30"/>
  <c r="E122" i="30"/>
  <c r="G118" i="40"/>
  <c r="I118" i="40" s="1"/>
  <c r="D119" i="40"/>
  <c r="E119" i="40"/>
  <c r="G126" i="25"/>
  <c r="I126" i="25" s="1"/>
  <c r="D127" i="25"/>
  <c r="G119" i="37"/>
  <c r="I119" i="37" s="1"/>
  <c r="D120" i="37"/>
  <c r="E120" i="37"/>
  <c r="J126" i="3"/>
  <c r="J123" i="24"/>
  <c r="J118" i="39"/>
  <c r="G126" i="22"/>
  <c r="I126" i="22" s="1"/>
  <c r="D127" i="22"/>
  <c r="G128" i="6"/>
  <c r="I128" i="6" s="1"/>
  <c r="D129" i="6"/>
  <c r="J129" i="10"/>
  <c r="G122" i="28"/>
  <c r="I122" i="28" s="1"/>
  <c r="D123" i="28"/>
  <c r="G119" i="39"/>
  <c r="I119" i="39" s="1"/>
  <c r="D120" i="39"/>
  <c r="E120" i="39"/>
  <c r="G129" i="9"/>
  <c r="I129" i="9" s="1"/>
  <c r="D130" i="9"/>
  <c r="E130" i="9"/>
  <c r="G130" i="10"/>
  <c r="I130" i="10" s="1"/>
  <c r="D131" i="10"/>
  <c r="G123" i="27"/>
  <c r="I123" i="27" s="1"/>
  <c r="D124" i="27"/>
  <c r="J126" i="5"/>
  <c r="J126" i="4"/>
  <c r="G127" i="5"/>
  <c r="D128" i="5"/>
  <c r="G130" i="7"/>
  <c r="I130" i="7" s="1"/>
  <c r="D131" i="7"/>
  <c r="G119" i="43"/>
  <c r="I119" i="43" s="1"/>
  <c r="D120" i="43"/>
  <c r="E120" i="43"/>
  <c r="G125" i="23"/>
  <c r="I125" i="23" s="1"/>
  <c r="D126" i="23"/>
  <c r="E126" i="23"/>
  <c r="G127" i="4"/>
  <c r="D128" i="4"/>
  <c r="G127" i="3"/>
  <c r="D128" i="3"/>
  <c r="G124" i="24"/>
  <c r="I124" i="24" s="1"/>
  <c r="D125" i="24"/>
  <c r="E125" i="24"/>
  <c r="J128" i="11"/>
  <c r="J120" i="30"/>
  <c r="J117" i="40"/>
  <c r="G122" i="31"/>
  <c r="I122" i="31" s="1"/>
  <c r="D123" i="31"/>
  <c r="G129" i="11"/>
  <c r="I129" i="11" s="1"/>
  <c r="D130" i="11"/>
  <c r="G122" i="29"/>
  <c r="I122" i="29" s="1"/>
  <c r="D123" i="29"/>
  <c r="E123" i="29"/>
  <c r="G128" i="8"/>
  <c r="I128" i="8" s="1"/>
  <c r="D129" i="8"/>
  <c r="E129" i="8"/>
  <c r="D126" i="46" l="1"/>
  <c r="G125" i="46"/>
  <c r="I125" i="46" s="1"/>
  <c r="H125" i="46"/>
  <c r="E126" i="46"/>
  <c r="F122" i="38"/>
  <c r="H122" i="38" s="1"/>
  <c r="D122" i="42"/>
  <c r="B122" i="42" s="1"/>
  <c r="G121" i="42"/>
  <c r="I121" i="42" s="1"/>
  <c r="G123" i="44"/>
  <c r="I123" i="44" s="1"/>
  <c r="H123" i="44"/>
  <c r="E124" i="44"/>
  <c r="F124" i="44" s="1"/>
  <c r="H124" i="44" s="1"/>
  <c r="G121" i="45"/>
  <c r="I121" i="45" s="1"/>
  <c r="J121" i="45" s="1"/>
  <c r="D122" i="45"/>
  <c r="E122" i="45"/>
  <c r="E127" i="22"/>
  <c r="E124" i="27"/>
  <c r="F124" i="27" s="1"/>
  <c r="H124" i="27" s="1"/>
  <c r="E129" i="6"/>
  <c r="F129" i="6" s="1"/>
  <c r="H129" i="6" s="1"/>
  <c r="E127" i="25"/>
  <c r="E128" i="3"/>
  <c r="F128" i="3" s="1"/>
  <c r="H128" i="3" s="1"/>
  <c r="E128" i="5"/>
  <c r="F128" i="5" s="1"/>
  <c r="H128" i="5" s="1"/>
  <c r="E130" i="11"/>
  <c r="F130" i="11" s="1"/>
  <c r="H130" i="11" s="1"/>
  <c r="E128" i="4"/>
  <c r="F128" i="4" s="1"/>
  <c r="H128" i="4" s="1"/>
  <c r="E131" i="7"/>
  <c r="F131" i="7" s="1"/>
  <c r="H131" i="7" s="1"/>
  <c r="E131" i="10"/>
  <c r="F131" i="10" s="1"/>
  <c r="H131" i="10" s="1"/>
  <c r="E123" i="28"/>
  <c r="F123" i="28" s="1"/>
  <c r="H123" i="28" s="1"/>
  <c r="E123" i="31"/>
  <c r="G124" i="44"/>
  <c r="I124" i="44" s="1"/>
  <c r="D125" i="44"/>
  <c r="J120" i="41"/>
  <c r="J121" i="38"/>
  <c r="G122" i="38"/>
  <c r="I122" i="38" s="1"/>
  <c r="D123" i="38"/>
  <c r="G121" i="41"/>
  <c r="I121" i="41" s="1"/>
  <c r="D122" i="41"/>
  <c r="B130" i="11"/>
  <c r="B123" i="29"/>
  <c r="F123" i="29"/>
  <c r="H123" i="29" s="1"/>
  <c r="B125" i="24"/>
  <c r="F125" i="24"/>
  <c r="H125" i="24" s="1"/>
  <c r="I127" i="3"/>
  <c r="B120" i="43"/>
  <c r="F120" i="43"/>
  <c r="H120" i="43" s="1"/>
  <c r="B120" i="39"/>
  <c r="F120" i="39"/>
  <c r="H120" i="39" s="1"/>
  <c r="B120" i="37"/>
  <c r="F120" i="37"/>
  <c r="H120" i="37" s="1"/>
  <c r="B129" i="8"/>
  <c r="F129" i="8"/>
  <c r="H129" i="8" s="1"/>
  <c r="B126" i="23"/>
  <c r="F126" i="23"/>
  <c r="H126" i="23" s="1"/>
  <c r="B130" i="9"/>
  <c r="F130" i="9"/>
  <c r="H130" i="9" s="1"/>
  <c r="B122" i="30"/>
  <c r="F122" i="30"/>
  <c r="H122" i="30" s="1"/>
  <c r="B128" i="4"/>
  <c r="B128" i="5"/>
  <c r="B131" i="10"/>
  <c r="B127" i="22"/>
  <c r="F127" i="22"/>
  <c r="H127" i="22" s="1"/>
  <c r="B119" i="40"/>
  <c r="F119" i="40"/>
  <c r="H119" i="40" s="1"/>
  <c r="B123" i="31"/>
  <c r="F123" i="31"/>
  <c r="H123" i="31" s="1"/>
  <c r="B128" i="3"/>
  <c r="I127" i="4"/>
  <c r="B131" i="7"/>
  <c r="I127" i="5"/>
  <c r="B124" i="27"/>
  <c r="B123" i="28"/>
  <c r="B129" i="6"/>
  <c r="B127" i="25"/>
  <c r="F127" i="25"/>
  <c r="H127" i="25" s="1"/>
  <c r="J125" i="46" l="1"/>
  <c r="B126" i="46"/>
  <c r="F126" i="46"/>
  <c r="F122" i="42"/>
  <c r="G122" i="42" s="1"/>
  <c r="I122" i="42" s="1"/>
  <c r="E125" i="44"/>
  <c r="F125" i="44" s="1"/>
  <c r="G125" i="44" s="1"/>
  <c r="I125" i="44" s="1"/>
  <c r="J123" i="44"/>
  <c r="F122" i="45"/>
  <c r="B122" i="45"/>
  <c r="B125" i="44"/>
  <c r="J124" i="44"/>
  <c r="J121" i="42"/>
  <c r="E122" i="41"/>
  <c r="F122" i="41" s="1"/>
  <c r="H122" i="41" s="1"/>
  <c r="B122" i="41"/>
  <c r="E123" i="38"/>
  <c r="F123" i="38" s="1"/>
  <c r="H123" i="38" s="1"/>
  <c r="B123" i="38"/>
  <c r="J127" i="5"/>
  <c r="J122" i="29"/>
  <c r="J127" i="4"/>
  <c r="J121" i="30"/>
  <c r="J128" i="8"/>
  <c r="J119" i="37"/>
  <c r="J126" i="25"/>
  <c r="J127" i="3"/>
  <c r="G127" i="25"/>
  <c r="I127" i="25" s="1"/>
  <c r="D128" i="25"/>
  <c r="J118" i="40"/>
  <c r="J126" i="22"/>
  <c r="G123" i="28"/>
  <c r="I123" i="28" s="1"/>
  <c r="D124" i="28"/>
  <c r="G124" i="27"/>
  <c r="I124" i="27" s="1"/>
  <c r="D125" i="27"/>
  <c r="G131" i="7"/>
  <c r="I131" i="7" s="1"/>
  <c r="D132" i="7"/>
  <c r="G128" i="3"/>
  <c r="D129" i="3"/>
  <c r="E129" i="3"/>
  <c r="G123" i="31"/>
  <c r="I123" i="31" s="1"/>
  <c r="D124" i="31"/>
  <c r="E124" i="31"/>
  <c r="G119" i="40"/>
  <c r="I119" i="40" s="1"/>
  <c r="D120" i="40"/>
  <c r="E120" i="40"/>
  <c r="J129" i="9"/>
  <c r="G128" i="5"/>
  <c r="D129" i="5"/>
  <c r="G128" i="4"/>
  <c r="D129" i="4"/>
  <c r="G122" i="30"/>
  <c r="I122" i="30" s="1"/>
  <c r="D123" i="30"/>
  <c r="J119" i="39"/>
  <c r="J119" i="43"/>
  <c r="J124" i="24"/>
  <c r="G129" i="8"/>
  <c r="I129" i="8" s="1"/>
  <c r="D130" i="8"/>
  <c r="G120" i="37"/>
  <c r="I120" i="37" s="1"/>
  <c r="D121" i="37"/>
  <c r="J122" i="28"/>
  <c r="J123" i="27"/>
  <c r="G120" i="43"/>
  <c r="I120" i="43" s="1"/>
  <c r="D121" i="43"/>
  <c r="G125" i="24"/>
  <c r="I125" i="24" s="1"/>
  <c r="D126" i="24"/>
  <c r="G123" i="29"/>
  <c r="I123" i="29" s="1"/>
  <c r="D124" i="29"/>
  <c r="G129" i="6"/>
  <c r="I129" i="6" s="1"/>
  <c r="D130" i="6"/>
  <c r="G127" i="22"/>
  <c r="I127" i="22" s="1"/>
  <c r="D128" i="22"/>
  <c r="G131" i="10"/>
  <c r="I131" i="10" s="1"/>
  <c r="D132" i="10"/>
  <c r="G130" i="9"/>
  <c r="I130" i="9" s="1"/>
  <c r="D131" i="9"/>
  <c r="E131" i="9"/>
  <c r="G126" i="23"/>
  <c r="I126" i="23" s="1"/>
  <c r="D127" i="23"/>
  <c r="J128" i="6"/>
  <c r="G120" i="39"/>
  <c r="I120" i="39" s="1"/>
  <c r="D121" i="39"/>
  <c r="J130" i="7"/>
  <c r="J129" i="11"/>
  <c r="G130" i="11"/>
  <c r="I130" i="11" s="1"/>
  <c r="D131" i="11"/>
  <c r="J130" i="10"/>
  <c r="J122" i="31"/>
  <c r="J125" i="23"/>
  <c r="H122" i="42" l="1"/>
  <c r="E123" i="42"/>
  <c r="H126" i="46"/>
  <c r="E127" i="46"/>
  <c r="D127" i="46"/>
  <c r="G126" i="46"/>
  <c r="I126" i="46" s="1"/>
  <c r="D123" i="42"/>
  <c r="B123" i="42" s="1"/>
  <c r="H122" i="45"/>
  <c r="D123" i="45"/>
  <c r="G122" i="45"/>
  <c r="I122" i="45" s="1"/>
  <c r="E123" i="45"/>
  <c r="E128" i="22"/>
  <c r="F128" i="22" s="1"/>
  <c r="H128" i="22" s="1"/>
  <c r="E124" i="29"/>
  <c r="F124" i="29" s="1"/>
  <c r="H124" i="29" s="1"/>
  <c r="E121" i="39"/>
  <c r="F121" i="39" s="1"/>
  <c r="H121" i="39" s="1"/>
  <c r="E132" i="10"/>
  <c r="F132" i="10" s="1"/>
  <c r="H132" i="10" s="1"/>
  <c r="E130" i="6"/>
  <c r="F130" i="6" s="1"/>
  <c r="H130" i="6" s="1"/>
  <c r="E130" i="8"/>
  <c r="F130" i="8" s="1"/>
  <c r="H130" i="8" s="1"/>
  <c r="E121" i="43"/>
  <c r="F121" i="43" s="1"/>
  <c r="H121" i="43" s="1"/>
  <c r="E127" i="23"/>
  <c r="F127" i="23" s="1"/>
  <c r="H127" i="23" s="1"/>
  <c r="E129" i="4"/>
  <c r="F129" i="4" s="1"/>
  <c r="H129" i="4" s="1"/>
  <c r="E125" i="27"/>
  <c r="F125" i="27" s="1"/>
  <c r="H125" i="27" s="1"/>
  <c r="E131" i="11"/>
  <c r="F131" i="11" s="1"/>
  <c r="H131" i="11" s="1"/>
  <c r="E123" i="30"/>
  <c r="F123" i="30" s="1"/>
  <c r="H123" i="30" s="1"/>
  <c r="E129" i="5"/>
  <c r="F129" i="5" s="1"/>
  <c r="H129" i="5" s="1"/>
  <c r="E132" i="7"/>
  <c r="F132" i="7" s="1"/>
  <c r="H132" i="7" s="1"/>
  <c r="E124" i="28"/>
  <c r="F124" i="28" s="1"/>
  <c r="H124" i="28" s="1"/>
  <c r="E128" i="25"/>
  <c r="F128" i="25" s="1"/>
  <c r="H128" i="25" s="1"/>
  <c r="D126" i="44"/>
  <c r="B126" i="44" s="1"/>
  <c r="H125" i="44"/>
  <c r="E121" i="37"/>
  <c r="F121" i="37" s="1"/>
  <c r="H121" i="37" s="1"/>
  <c r="E126" i="24"/>
  <c r="E126" i="44"/>
  <c r="J121" i="41"/>
  <c r="G123" i="38"/>
  <c r="I123" i="38" s="1"/>
  <c r="D124" i="38"/>
  <c r="E124" i="38"/>
  <c r="J122" i="38"/>
  <c r="D123" i="41"/>
  <c r="G122" i="41"/>
  <c r="I122" i="41" s="1"/>
  <c r="J122" i="42"/>
  <c r="B131" i="11"/>
  <c r="B131" i="9"/>
  <c r="F131" i="9"/>
  <c r="H131" i="9" s="1"/>
  <c r="B124" i="29"/>
  <c r="B123" i="30"/>
  <c r="I128" i="4"/>
  <c r="B129" i="3"/>
  <c r="F129" i="3"/>
  <c r="H129" i="3" s="1"/>
  <c r="B121" i="39"/>
  <c r="B127" i="23"/>
  <c r="B130" i="6"/>
  <c r="B124" i="31"/>
  <c r="F124" i="31"/>
  <c r="H124" i="31" s="1"/>
  <c r="I128" i="3"/>
  <c r="B124" i="28"/>
  <c r="B128" i="22"/>
  <c r="B121" i="43"/>
  <c r="B130" i="8"/>
  <c r="B129" i="5"/>
  <c r="B120" i="40"/>
  <c r="F120" i="40"/>
  <c r="H120" i="40" s="1"/>
  <c r="B125" i="27"/>
  <c r="B128" i="25"/>
  <c r="B132" i="10"/>
  <c r="B126" i="24"/>
  <c r="F126" i="24"/>
  <c r="H126" i="24" s="1"/>
  <c r="B121" i="37"/>
  <c r="B129" i="4"/>
  <c r="I128" i="5"/>
  <c r="B132" i="7"/>
  <c r="F127" i="46" l="1"/>
  <c r="B127" i="46"/>
  <c r="H127" i="46"/>
  <c r="F123" i="45"/>
  <c r="G123" i="45" s="1"/>
  <c r="I123" i="45" s="1"/>
  <c r="F123" i="42"/>
  <c r="H123" i="42" s="1"/>
  <c r="J122" i="45"/>
  <c r="J126" i="46"/>
  <c r="D124" i="42"/>
  <c r="B124" i="42" s="1"/>
  <c r="B123" i="45"/>
  <c r="G123" i="42"/>
  <c r="I123" i="42" s="1"/>
  <c r="F126" i="44"/>
  <c r="D127" i="44" s="1"/>
  <c r="B124" i="38"/>
  <c r="J125" i="44"/>
  <c r="F124" i="38"/>
  <c r="G124" i="38" s="1"/>
  <c r="I124" i="38" s="1"/>
  <c r="E123" i="41"/>
  <c r="F123" i="41" s="1"/>
  <c r="H123" i="41" s="1"/>
  <c r="B123" i="41"/>
  <c r="E124" i="42"/>
  <c r="J123" i="29"/>
  <c r="J130" i="9"/>
  <c r="J155" i="9" s="1"/>
  <c r="J128" i="3"/>
  <c r="J128" i="4"/>
  <c r="J129" i="8"/>
  <c r="J127" i="22"/>
  <c r="J127" i="25"/>
  <c r="J129" i="6"/>
  <c r="G132" i="7"/>
  <c r="I132" i="7" s="1"/>
  <c r="D133" i="7"/>
  <c r="J128" i="5"/>
  <c r="J120" i="43"/>
  <c r="J120" i="39"/>
  <c r="G128" i="25"/>
  <c r="I128" i="25" s="1"/>
  <c r="D129" i="25"/>
  <c r="E129" i="25"/>
  <c r="G125" i="27"/>
  <c r="I125" i="27" s="1"/>
  <c r="D126" i="27"/>
  <c r="G120" i="40"/>
  <c r="I120" i="40" s="1"/>
  <c r="D121" i="40"/>
  <c r="G130" i="8"/>
  <c r="I130" i="8" s="1"/>
  <c r="D131" i="8"/>
  <c r="E131" i="8"/>
  <c r="J126" i="23"/>
  <c r="J122" i="30"/>
  <c r="G130" i="6"/>
  <c r="I130" i="6" s="1"/>
  <c r="D131" i="6"/>
  <c r="G127" i="23"/>
  <c r="I127" i="23" s="1"/>
  <c r="D128" i="23"/>
  <c r="J131" i="7"/>
  <c r="J120" i="37"/>
  <c r="G124" i="29"/>
  <c r="I124" i="29" s="1"/>
  <c r="D125" i="29"/>
  <c r="G131" i="9"/>
  <c r="I131" i="9" s="1"/>
  <c r="D132" i="9"/>
  <c r="E132" i="9"/>
  <c r="J124" i="27"/>
  <c r="J119" i="40"/>
  <c r="G129" i="4"/>
  <c r="D130" i="4"/>
  <c r="G121" i="37"/>
  <c r="I121" i="37" s="1"/>
  <c r="D122" i="37"/>
  <c r="E122" i="37"/>
  <c r="G126" i="24"/>
  <c r="I126" i="24" s="1"/>
  <c r="D127" i="24"/>
  <c r="E127" i="24"/>
  <c r="G132" i="10"/>
  <c r="I132" i="10" s="1"/>
  <c r="D133" i="10"/>
  <c r="J130" i="11"/>
  <c r="J155" i="11" s="1"/>
  <c r="J123" i="28"/>
  <c r="J123" i="31"/>
  <c r="G129" i="5"/>
  <c r="D130" i="5"/>
  <c r="G121" i="43"/>
  <c r="I121" i="43" s="1"/>
  <c r="D122" i="43"/>
  <c r="G128" i="22"/>
  <c r="I128" i="22" s="1"/>
  <c r="D129" i="22"/>
  <c r="G124" i="28"/>
  <c r="I124" i="28" s="1"/>
  <c r="D125" i="28"/>
  <c r="G124" i="31"/>
  <c r="I124" i="31" s="1"/>
  <c r="D125" i="31"/>
  <c r="E125" i="31"/>
  <c r="G121" i="39"/>
  <c r="I121" i="39" s="1"/>
  <c r="D122" i="39"/>
  <c r="E122" i="39"/>
  <c r="G129" i="3"/>
  <c r="D130" i="3"/>
  <c r="G123" i="30"/>
  <c r="I123" i="30" s="1"/>
  <c r="D124" i="30"/>
  <c r="J125" i="24"/>
  <c r="J131" i="10"/>
  <c r="G131" i="11"/>
  <c r="I131" i="11" s="1"/>
  <c r="D132" i="11"/>
  <c r="E124" i="45" l="1"/>
  <c r="H123" i="45"/>
  <c r="J123" i="45" s="1"/>
  <c r="D124" i="45"/>
  <c r="B124" i="45" s="1"/>
  <c r="D128" i="46"/>
  <c r="G127" i="46"/>
  <c r="I127" i="46" s="1"/>
  <c r="J127" i="46" s="1"/>
  <c r="E128" i="46"/>
  <c r="F124" i="42"/>
  <c r="H124" i="42" s="1"/>
  <c r="G126" i="44"/>
  <c r="I126" i="44" s="1"/>
  <c r="E126" i="27"/>
  <c r="F126" i="27" s="1"/>
  <c r="H126" i="27" s="1"/>
  <c r="E133" i="7"/>
  <c r="F133" i="7" s="1"/>
  <c r="H133" i="7" s="1"/>
  <c r="E132" i="11"/>
  <c r="F132" i="11" s="1"/>
  <c r="H132" i="11" s="1"/>
  <c r="E125" i="29"/>
  <c r="F125" i="29" s="1"/>
  <c r="H125" i="29" s="1"/>
  <c r="E133" i="10"/>
  <c r="F133" i="10" s="1"/>
  <c r="H133" i="10" s="1"/>
  <c r="E130" i="4"/>
  <c r="F130" i="4" s="1"/>
  <c r="H130" i="4" s="1"/>
  <c r="E121" i="40"/>
  <c r="F121" i="40" s="1"/>
  <c r="H121" i="40" s="1"/>
  <c r="H126" i="44"/>
  <c r="E124" i="30"/>
  <c r="F124" i="30" s="1"/>
  <c r="H124" i="30" s="1"/>
  <c r="E129" i="22"/>
  <c r="F129" i="22" s="1"/>
  <c r="H129" i="22" s="1"/>
  <c r="E130" i="5"/>
  <c r="F130" i="5" s="1"/>
  <c r="H130" i="5" s="1"/>
  <c r="E128" i="23"/>
  <c r="F128" i="23" s="1"/>
  <c r="H128" i="23" s="1"/>
  <c r="E130" i="3"/>
  <c r="F130" i="3" s="1"/>
  <c r="H130" i="3" s="1"/>
  <c r="E125" i="28"/>
  <c r="F125" i="28" s="1"/>
  <c r="H125" i="28" s="1"/>
  <c r="E122" i="43"/>
  <c r="F122" i="43" s="1"/>
  <c r="H122" i="43" s="1"/>
  <c r="E131" i="6"/>
  <c r="F131" i="6" s="1"/>
  <c r="H131" i="6" s="1"/>
  <c r="H124" i="38"/>
  <c r="D125" i="38"/>
  <c r="J122" i="41"/>
  <c r="E127" i="44"/>
  <c r="F127" i="44" s="1"/>
  <c r="H127" i="44" s="1"/>
  <c r="B127" i="44"/>
  <c r="J123" i="42"/>
  <c r="G124" i="42"/>
  <c r="I124" i="42" s="1"/>
  <c r="E125" i="38"/>
  <c r="G123" i="41"/>
  <c r="I123" i="41" s="1"/>
  <c r="D124" i="41"/>
  <c r="J123" i="38"/>
  <c r="B130" i="5"/>
  <c r="B122" i="39"/>
  <c r="F122" i="39"/>
  <c r="H122" i="39" s="1"/>
  <c r="B122" i="43"/>
  <c r="I129" i="5"/>
  <c r="B127" i="24"/>
  <c r="F127" i="24"/>
  <c r="H127" i="24" s="1"/>
  <c r="B129" i="25"/>
  <c r="F129" i="25"/>
  <c r="H129" i="25" s="1"/>
  <c r="B132" i="11"/>
  <c r="B130" i="3"/>
  <c r="B129" i="22"/>
  <c r="B133" i="10"/>
  <c r="B126" i="27"/>
  <c r="B124" i="30"/>
  <c r="I129" i="3"/>
  <c r="B125" i="28"/>
  <c r="B130" i="4"/>
  <c r="B125" i="29"/>
  <c r="B131" i="6"/>
  <c r="B121" i="40"/>
  <c r="B133" i="7"/>
  <c r="B125" i="31"/>
  <c r="F125" i="31"/>
  <c r="H125" i="31" s="1"/>
  <c r="B122" i="37"/>
  <c r="F122" i="37"/>
  <c r="H122" i="37" s="1"/>
  <c r="I129" i="4"/>
  <c r="B132" i="9"/>
  <c r="F132" i="9"/>
  <c r="H132" i="9" s="1"/>
  <c r="B128" i="23"/>
  <c r="B131" i="8"/>
  <c r="F131" i="8"/>
  <c r="H131" i="8" s="1"/>
  <c r="B128" i="46" l="1"/>
  <c r="F128" i="46"/>
  <c r="D125" i="42"/>
  <c r="B125" i="42" s="1"/>
  <c r="H124" i="45"/>
  <c r="J124" i="45" s="1"/>
  <c r="F124" i="45"/>
  <c r="G124" i="45" s="1"/>
  <c r="I124" i="45" s="1"/>
  <c r="D125" i="45"/>
  <c r="B124" i="41"/>
  <c r="B125" i="38"/>
  <c r="F125" i="38"/>
  <c r="D126" i="38" s="1"/>
  <c r="G127" i="44"/>
  <c r="I127" i="44" s="1"/>
  <c r="D128" i="44"/>
  <c r="E128" i="44"/>
  <c r="J126" i="44"/>
  <c r="J124" i="38"/>
  <c r="E124" i="41"/>
  <c r="F124" i="41" s="1"/>
  <c r="G124" i="41" s="1"/>
  <c r="I124" i="41" s="1"/>
  <c r="E125" i="42"/>
  <c r="J121" i="37"/>
  <c r="J129" i="5"/>
  <c r="J124" i="31"/>
  <c r="J120" i="40"/>
  <c r="J123" i="30"/>
  <c r="J128" i="25"/>
  <c r="J132" i="7"/>
  <c r="G131" i="8"/>
  <c r="I131" i="8" s="1"/>
  <c r="D132" i="8"/>
  <c r="E132" i="8"/>
  <c r="G128" i="23"/>
  <c r="I128" i="23" s="1"/>
  <c r="D129" i="23"/>
  <c r="G132" i="9"/>
  <c r="I132" i="9" s="1"/>
  <c r="D133" i="9"/>
  <c r="G122" i="37"/>
  <c r="I122" i="37" s="1"/>
  <c r="D123" i="37"/>
  <c r="G125" i="31"/>
  <c r="I125" i="31" s="1"/>
  <c r="D126" i="31"/>
  <c r="E126" i="31"/>
  <c r="J125" i="27"/>
  <c r="G131" i="6"/>
  <c r="I131" i="6" s="1"/>
  <c r="D132" i="6"/>
  <c r="E132" i="6"/>
  <c r="G130" i="4"/>
  <c r="D131" i="4"/>
  <c r="J128" i="22"/>
  <c r="J129" i="3"/>
  <c r="J126" i="24"/>
  <c r="J121" i="43"/>
  <c r="J121" i="39"/>
  <c r="G132" i="11"/>
  <c r="I132" i="11" s="1"/>
  <c r="D133" i="11"/>
  <c r="J130" i="8"/>
  <c r="G127" i="24"/>
  <c r="I127" i="24" s="1"/>
  <c r="D128" i="24"/>
  <c r="G122" i="43"/>
  <c r="I122" i="43" s="1"/>
  <c r="D123" i="43"/>
  <c r="E123" i="43"/>
  <c r="G122" i="39"/>
  <c r="I122" i="39" s="1"/>
  <c r="D123" i="39"/>
  <c r="J130" i="6"/>
  <c r="J124" i="29"/>
  <c r="J129" i="4"/>
  <c r="J124" i="28"/>
  <c r="G133" i="7"/>
  <c r="I133" i="7" s="1"/>
  <c r="D134" i="7"/>
  <c r="E134" i="7"/>
  <c r="G121" i="40"/>
  <c r="I121" i="40" s="1"/>
  <c r="D122" i="40"/>
  <c r="G125" i="29"/>
  <c r="I125" i="29" s="1"/>
  <c r="D126" i="29"/>
  <c r="J132" i="10"/>
  <c r="G125" i="28"/>
  <c r="I125" i="28" s="1"/>
  <c r="D126" i="28"/>
  <c r="G124" i="30"/>
  <c r="I124" i="30" s="1"/>
  <c r="D125" i="30"/>
  <c r="E125" i="30"/>
  <c r="G126" i="27"/>
  <c r="I126" i="27" s="1"/>
  <c r="D127" i="27"/>
  <c r="E127" i="27"/>
  <c r="G133" i="10"/>
  <c r="I133" i="10" s="1"/>
  <c r="D134" i="10"/>
  <c r="G129" i="22"/>
  <c r="I129" i="22" s="1"/>
  <c r="D130" i="22"/>
  <c r="G130" i="3"/>
  <c r="D131" i="3"/>
  <c r="G129" i="25"/>
  <c r="I129" i="25" s="1"/>
  <c r="D130" i="25"/>
  <c r="J127" i="23"/>
  <c r="G130" i="5"/>
  <c r="D131" i="5"/>
  <c r="E125" i="45" l="1"/>
  <c r="F125" i="45" s="1"/>
  <c r="F125" i="42"/>
  <c r="H125" i="42" s="1"/>
  <c r="G128" i="46"/>
  <c r="I128" i="46" s="1"/>
  <c r="D129" i="46"/>
  <c r="H128" i="46"/>
  <c r="E129" i="46"/>
  <c r="B125" i="45"/>
  <c r="E130" i="22"/>
  <c r="E133" i="11"/>
  <c r="E126" i="29"/>
  <c r="F126" i="29" s="1"/>
  <c r="H126" i="29" s="1"/>
  <c r="H125" i="38"/>
  <c r="E130" i="25"/>
  <c r="E123" i="39"/>
  <c r="F123" i="39" s="1"/>
  <c r="H123" i="39" s="1"/>
  <c r="E131" i="5"/>
  <c r="F131" i="5" s="1"/>
  <c r="H131" i="5" s="1"/>
  <c r="E134" i="10"/>
  <c r="F134" i="10" s="1"/>
  <c r="H134" i="10" s="1"/>
  <c r="E126" i="28"/>
  <c r="E133" i="9"/>
  <c r="F133" i="9" s="1"/>
  <c r="H133" i="9" s="1"/>
  <c r="G125" i="38"/>
  <c r="I125" i="38" s="1"/>
  <c r="E129" i="23"/>
  <c r="F129" i="23" s="1"/>
  <c r="H129" i="23" s="1"/>
  <c r="E131" i="3"/>
  <c r="F131" i="3" s="1"/>
  <c r="H131" i="3" s="1"/>
  <c r="E122" i="40"/>
  <c r="F122" i="40" s="1"/>
  <c r="H122" i="40" s="1"/>
  <c r="E131" i="4"/>
  <c r="F131" i="4" s="1"/>
  <c r="H131" i="4" s="1"/>
  <c r="H124" i="41"/>
  <c r="B128" i="44"/>
  <c r="E123" i="37"/>
  <c r="F123" i="37" s="1"/>
  <c r="H123" i="37" s="1"/>
  <c r="E128" i="24"/>
  <c r="F128" i="24" s="1"/>
  <c r="H128" i="24" s="1"/>
  <c r="F128" i="44"/>
  <c r="H128" i="44" s="1"/>
  <c r="D125" i="41"/>
  <c r="J123" i="41"/>
  <c r="J124" i="42"/>
  <c r="G125" i="42"/>
  <c r="I125" i="42" s="1"/>
  <c r="D126" i="42"/>
  <c r="E126" i="38"/>
  <c r="F126" i="38" s="1"/>
  <c r="H126" i="38" s="1"/>
  <c r="B126" i="38"/>
  <c r="B131" i="5"/>
  <c r="I130" i="3"/>
  <c r="I130" i="5"/>
  <c r="B131" i="3"/>
  <c r="B125" i="30"/>
  <c r="F125" i="30"/>
  <c r="H125" i="30" s="1"/>
  <c r="B123" i="39"/>
  <c r="B123" i="37"/>
  <c r="B130" i="25"/>
  <c r="F130" i="25"/>
  <c r="H130" i="25" s="1"/>
  <c r="B127" i="27"/>
  <c r="F127" i="27"/>
  <c r="H127" i="27" s="1"/>
  <c r="B134" i="7"/>
  <c r="F134" i="7"/>
  <c r="H134" i="7" s="1"/>
  <c r="B132" i="6"/>
  <c r="F132" i="6"/>
  <c r="H132" i="6" s="1"/>
  <c r="B126" i="31"/>
  <c r="F126" i="31"/>
  <c r="H126" i="31" s="1"/>
  <c r="B132" i="8"/>
  <c r="F132" i="8"/>
  <c r="H132" i="8" s="1"/>
  <c r="B134" i="10"/>
  <c r="B122" i="40"/>
  <c r="B128" i="24"/>
  <c r="B133" i="11"/>
  <c r="F133" i="11"/>
  <c r="H133" i="11" s="1"/>
  <c r="B131" i="4"/>
  <c r="B129" i="23"/>
  <c r="B130" i="22"/>
  <c r="F130" i="22"/>
  <c r="H130" i="22" s="1"/>
  <c r="B126" i="28"/>
  <c r="F126" i="28"/>
  <c r="H126" i="28" s="1"/>
  <c r="B126" i="29"/>
  <c r="B123" i="43"/>
  <c r="F123" i="43"/>
  <c r="H123" i="43" s="1"/>
  <c r="I130" i="4"/>
  <c r="B133" i="9"/>
  <c r="H125" i="45" l="1"/>
  <c r="E126" i="45"/>
  <c r="G125" i="45"/>
  <c r="I125" i="45" s="1"/>
  <c r="D126" i="45"/>
  <c r="B126" i="45" s="1"/>
  <c r="F129" i="46"/>
  <c r="B129" i="46"/>
  <c r="J128" i="46"/>
  <c r="J125" i="45"/>
  <c r="G128" i="44"/>
  <c r="I128" i="44" s="1"/>
  <c r="D129" i="44"/>
  <c r="B129" i="44" s="1"/>
  <c r="B125" i="41"/>
  <c r="E125" i="41"/>
  <c r="F125" i="41" s="1"/>
  <c r="J124" i="41"/>
  <c r="J127" i="44"/>
  <c r="E129" i="44"/>
  <c r="D127" i="38"/>
  <c r="G126" i="38"/>
  <c r="I126" i="38" s="1"/>
  <c r="E126" i="42"/>
  <c r="F126" i="42" s="1"/>
  <c r="H126" i="42" s="1"/>
  <c r="B126" i="42"/>
  <c r="J125" i="38"/>
  <c r="J130" i="3"/>
  <c r="J129" i="22"/>
  <c r="J122" i="37"/>
  <c r="J125" i="31"/>
  <c r="J127" i="24"/>
  <c r="J126" i="27"/>
  <c r="J133" i="10"/>
  <c r="J122" i="39"/>
  <c r="J124" i="30"/>
  <c r="J128" i="23"/>
  <c r="J130" i="4"/>
  <c r="J121" i="40"/>
  <c r="G126" i="28"/>
  <c r="I126" i="28" s="1"/>
  <c r="D127" i="28"/>
  <c r="G130" i="22"/>
  <c r="I130" i="22" s="1"/>
  <c r="D131" i="22"/>
  <c r="E131" i="22"/>
  <c r="J131" i="8"/>
  <c r="G131" i="4"/>
  <c r="D132" i="4"/>
  <c r="E132" i="4"/>
  <c r="G128" i="24"/>
  <c r="I128" i="24" s="1"/>
  <c r="D129" i="24"/>
  <c r="E129" i="24"/>
  <c r="G122" i="40"/>
  <c r="I122" i="40" s="1"/>
  <c r="D123" i="40"/>
  <c r="G134" i="10"/>
  <c r="I134" i="10" s="1"/>
  <c r="D135" i="10"/>
  <c r="G132" i="6"/>
  <c r="I132" i="6" s="1"/>
  <c r="D133" i="6"/>
  <c r="G134" i="7"/>
  <c r="I134" i="7" s="1"/>
  <c r="D135" i="7"/>
  <c r="E135" i="7"/>
  <c r="G127" i="27"/>
  <c r="I127" i="27" s="1"/>
  <c r="D128" i="27"/>
  <c r="J122" i="43"/>
  <c r="J125" i="29"/>
  <c r="G125" i="30"/>
  <c r="I125" i="30" s="1"/>
  <c r="D126" i="30"/>
  <c r="E126" i="30"/>
  <c r="G131" i="3"/>
  <c r="D132" i="3"/>
  <c r="G133" i="9"/>
  <c r="I133" i="9" s="1"/>
  <c r="D134" i="9"/>
  <c r="G123" i="43"/>
  <c r="I123" i="43" s="1"/>
  <c r="D124" i="43"/>
  <c r="G126" i="29"/>
  <c r="I126" i="29" s="1"/>
  <c r="D127" i="29"/>
  <c r="E127" i="29"/>
  <c r="J129" i="25"/>
  <c r="G129" i="23"/>
  <c r="I129" i="23" s="1"/>
  <c r="D130" i="23"/>
  <c r="E130" i="23"/>
  <c r="J131" i="6"/>
  <c r="G133" i="11"/>
  <c r="I133" i="11" s="1"/>
  <c r="D134" i="11"/>
  <c r="E134" i="11"/>
  <c r="J133" i="7"/>
  <c r="G132" i="8"/>
  <c r="I132" i="8" s="1"/>
  <c r="D133" i="8"/>
  <c r="E133" i="8"/>
  <c r="G126" i="31"/>
  <c r="I126" i="31" s="1"/>
  <c r="D127" i="31"/>
  <c r="G130" i="25"/>
  <c r="I130" i="25" s="1"/>
  <c r="D131" i="25"/>
  <c r="G123" i="37"/>
  <c r="I123" i="37" s="1"/>
  <c r="D124" i="37"/>
  <c r="G123" i="39"/>
  <c r="I123" i="39" s="1"/>
  <c r="D124" i="39"/>
  <c r="J125" i="28"/>
  <c r="J130" i="5"/>
  <c r="G131" i="5"/>
  <c r="D132" i="5"/>
  <c r="F126" i="45" l="1"/>
  <c r="H129" i="46"/>
  <c r="E130" i="46"/>
  <c r="D130" i="46"/>
  <c r="G129" i="46"/>
  <c r="I129" i="46" s="1"/>
  <c r="F129" i="44"/>
  <c r="H129" i="44" s="1"/>
  <c r="H126" i="45"/>
  <c r="D127" i="45"/>
  <c r="G126" i="45"/>
  <c r="I126" i="45" s="1"/>
  <c r="E127" i="45"/>
  <c r="E131" i="25"/>
  <c r="F131" i="25" s="1"/>
  <c r="H131" i="25" s="1"/>
  <c r="E134" i="9"/>
  <c r="F134" i="9" s="1"/>
  <c r="H134" i="9" s="1"/>
  <c r="E135" i="10"/>
  <c r="F135" i="10" s="1"/>
  <c r="H135" i="10" s="1"/>
  <c r="E132" i="5"/>
  <c r="E128" i="27"/>
  <c r="E124" i="39"/>
  <c r="F124" i="39" s="1"/>
  <c r="H124" i="39" s="1"/>
  <c r="E124" i="43"/>
  <c r="F124" i="43" s="1"/>
  <c r="H124" i="43" s="1"/>
  <c r="E132" i="3"/>
  <c r="F132" i="3" s="1"/>
  <c r="H132" i="3" s="1"/>
  <c r="E133" i="6"/>
  <c r="F133" i="6" s="1"/>
  <c r="H133" i="6" s="1"/>
  <c r="E123" i="40"/>
  <c r="F123" i="40" s="1"/>
  <c r="H123" i="40" s="1"/>
  <c r="E127" i="28"/>
  <c r="F127" i="28" s="1"/>
  <c r="H127" i="28" s="1"/>
  <c r="D126" i="41"/>
  <c r="B126" i="41" s="1"/>
  <c r="H125" i="41"/>
  <c r="E127" i="31"/>
  <c r="E124" i="37"/>
  <c r="F124" i="37" s="1"/>
  <c r="H124" i="37" s="1"/>
  <c r="G125" i="41"/>
  <c r="I125" i="41" s="1"/>
  <c r="D130" i="44"/>
  <c r="G129" i="44"/>
  <c r="I129" i="44" s="1"/>
  <c r="J128" i="44"/>
  <c r="D127" i="42"/>
  <c r="G126" i="42"/>
  <c r="I126" i="42" s="1"/>
  <c r="E126" i="41"/>
  <c r="J125" i="42"/>
  <c r="E127" i="38"/>
  <c r="F127" i="38" s="1"/>
  <c r="H127" i="38" s="1"/>
  <c r="B127" i="38"/>
  <c r="B132" i="5"/>
  <c r="F132" i="5"/>
  <c r="H132" i="5" s="1"/>
  <c r="B124" i="37"/>
  <c r="B124" i="43"/>
  <c r="B133" i="6"/>
  <c r="B132" i="4"/>
  <c r="F132" i="4"/>
  <c r="H132" i="4" s="1"/>
  <c r="B131" i="22"/>
  <c r="F131" i="22"/>
  <c r="H131" i="22" s="1"/>
  <c r="I131" i="5"/>
  <c r="B133" i="8"/>
  <c r="F133" i="8"/>
  <c r="H133" i="8" s="1"/>
  <c r="B134" i="11"/>
  <c r="F134" i="11"/>
  <c r="H134" i="11" s="1"/>
  <c r="B130" i="23"/>
  <c r="F130" i="23"/>
  <c r="H130" i="23" s="1"/>
  <c r="B127" i="29"/>
  <c r="F127" i="29"/>
  <c r="H127" i="29" s="1"/>
  <c r="B126" i="30"/>
  <c r="F126" i="30"/>
  <c r="H126" i="30" s="1"/>
  <c r="B135" i="7"/>
  <c r="F135" i="7"/>
  <c r="H135" i="7" s="1"/>
  <c r="B129" i="24"/>
  <c r="F129" i="24"/>
  <c r="H129" i="24" s="1"/>
  <c r="I131" i="4"/>
  <c r="B124" i="39"/>
  <c r="B127" i="31"/>
  <c r="F127" i="31"/>
  <c r="H127" i="31" s="1"/>
  <c r="B132" i="3"/>
  <c r="B128" i="27"/>
  <c r="F128" i="27"/>
  <c r="H128" i="27" s="1"/>
  <c r="B123" i="40"/>
  <c r="B131" i="25"/>
  <c r="B134" i="9"/>
  <c r="I131" i="3"/>
  <c r="B135" i="10"/>
  <c r="B127" i="28"/>
  <c r="J126" i="45" l="1"/>
  <c r="J129" i="46"/>
  <c r="F130" i="46"/>
  <c r="B130" i="46"/>
  <c r="F126" i="41"/>
  <c r="H126" i="41" s="1"/>
  <c r="B127" i="45"/>
  <c r="F127" i="45"/>
  <c r="B127" i="42"/>
  <c r="E130" i="44"/>
  <c r="F130" i="44" s="1"/>
  <c r="H130" i="44" s="1"/>
  <c r="B130" i="44"/>
  <c r="J126" i="38"/>
  <c r="E127" i="42"/>
  <c r="F127" i="42" s="1"/>
  <c r="D128" i="42" s="1"/>
  <c r="G127" i="38"/>
  <c r="I127" i="38" s="1"/>
  <c r="D128" i="38"/>
  <c r="E128" i="38"/>
  <c r="J125" i="41"/>
  <c r="J125" i="30"/>
  <c r="J126" i="31"/>
  <c r="J123" i="43"/>
  <c r="J122" i="40"/>
  <c r="J131" i="4"/>
  <c r="J127" i="27"/>
  <c r="J134" i="7"/>
  <c r="J128" i="24"/>
  <c r="G127" i="28"/>
  <c r="I127" i="28" s="1"/>
  <c r="D128" i="28"/>
  <c r="G135" i="10"/>
  <c r="I135" i="10" s="1"/>
  <c r="D136" i="10"/>
  <c r="E136" i="10"/>
  <c r="J131" i="3"/>
  <c r="J123" i="37"/>
  <c r="G123" i="40"/>
  <c r="I123" i="40" s="1"/>
  <c r="D124" i="40"/>
  <c r="G128" i="27"/>
  <c r="I128" i="27" s="1"/>
  <c r="D129" i="27"/>
  <c r="G132" i="3"/>
  <c r="D133" i="3"/>
  <c r="E133" i="3"/>
  <c r="J129" i="23"/>
  <c r="J132" i="8"/>
  <c r="J123" i="39"/>
  <c r="J130" i="22"/>
  <c r="J155" i="22" s="1"/>
  <c r="G129" i="24"/>
  <c r="I129" i="24" s="1"/>
  <c r="D130" i="24"/>
  <c r="E130" i="24"/>
  <c r="G135" i="7"/>
  <c r="I135" i="7" s="1"/>
  <c r="D136" i="7"/>
  <c r="G130" i="23"/>
  <c r="I130" i="23" s="1"/>
  <c r="D131" i="23"/>
  <c r="E131" i="23"/>
  <c r="G133" i="8"/>
  <c r="I133" i="8" s="1"/>
  <c r="D134" i="8"/>
  <c r="E134" i="8"/>
  <c r="J126" i="28"/>
  <c r="G132" i="4"/>
  <c r="D133" i="4"/>
  <c r="E133" i="4"/>
  <c r="G133" i="6"/>
  <c r="I133" i="6" s="1"/>
  <c r="D134" i="6"/>
  <c r="E134" i="6"/>
  <c r="G124" i="43"/>
  <c r="I124" i="43" s="1"/>
  <c r="D125" i="43"/>
  <c r="G124" i="37"/>
  <c r="I124" i="37" s="1"/>
  <c r="D125" i="37"/>
  <c r="E125" i="37"/>
  <c r="G134" i="9"/>
  <c r="I134" i="9" s="1"/>
  <c r="D135" i="9"/>
  <c r="E135" i="9"/>
  <c r="D132" i="25"/>
  <c r="G131" i="25"/>
  <c r="I131" i="25" s="1"/>
  <c r="J126" i="29"/>
  <c r="G127" i="31"/>
  <c r="I127" i="31" s="1"/>
  <c r="D128" i="31"/>
  <c r="E128" i="31"/>
  <c r="G124" i="39"/>
  <c r="I124" i="39" s="1"/>
  <c r="D125" i="39"/>
  <c r="J132" i="6"/>
  <c r="G126" i="30"/>
  <c r="I126" i="30" s="1"/>
  <c r="D127" i="30"/>
  <c r="G127" i="29"/>
  <c r="I127" i="29" s="1"/>
  <c r="D128" i="29"/>
  <c r="E128" i="29"/>
  <c r="G134" i="11"/>
  <c r="I134" i="11" s="1"/>
  <c r="D135" i="11"/>
  <c r="E135" i="11"/>
  <c r="J131" i="5"/>
  <c r="G131" i="22"/>
  <c r="I131" i="22" s="1"/>
  <c r="D132" i="22"/>
  <c r="E132" i="22"/>
  <c r="J134" i="10"/>
  <c r="J130" i="25"/>
  <c r="G132" i="5"/>
  <c r="D133" i="5"/>
  <c r="E133" i="5"/>
  <c r="D127" i="41" l="1"/>
  <c r="G126" i="41"/>
  <c r="I126" i="41" s="1"/>
  <c r="G130" i="46"/>
  <c r="I130" i="46" s="1"/>
  <c r="D131" i="46"/>
  <c r="E131" i="46"/>
  <c r="H130" i="46"/>
  <c r="H127" i="45"/>
  <c r="D128" i="45"/>
  <c r="E128" i="45"/>
  <c r="G127" i="45"/>
  <c r="I127" i="45" s="1"/>
  <c r="E125" i="43"/>
  <c r="E128" i="28"/>
  <c r="F128" i="28" s="1"/>
  <c r="H128" i="28" s="1"/>
  <c r="B128" i="42"/>
  <c r="E132" i="25"/>
  <c r="F132" i="25" s="1"/>
  <c r="H132" i="25" s="1"/>
  <c r="E124" i="40"/>
  <c r="E125" i="39"/>
  <c r="H127" i="42"/>
  <c r="E127" i="30"/>
  <c r="F127" i="30" s="1"/>
  <c r="H127" i="30" s="1"/>
  <c r="E136" i="7"/>
  <c r="F136" i="7" s="1"/>
  <c r="H136" i="7" s="1"/>
  <c r="E129" i="27"/>
  <c r="F129" i="27" s="1"/>
  <c r="H129" i="27" s="1"/>
  <c r="B127" i="41"/>
  <c r="B128" i="38"/>
  <c r="G130" i="44"/>
  <c r="I130" i="44" s="1"/>
  <c r="D131" i="44"/>
  <c r="J129" i="44"/>
  <c r="G127" i="42"/>
  <c r="I127" i="42" s="1"/>
  <c r="F128" i="38"/>
  <c r="G128" i="38" s="1"/>
  <c r="I128" i="38" s="1"/>
  <c r="E128" i="42"/>
  <c r="F128" i="42" s="1"/>
  <c r="H128" i="42" s="1"/>
  <c r="E127" i="41"/>
  <c r="F127" i="41" s="1"/>
  <c r="G127" i="41" s="1"/>
  <c r="I127" i="41" s="1"/>
  <c r="J126" i="42"/>
  <c r="I132" i="5"/>
  <c r="B135" i="11"/>
  <c r="F135" i="11"/>
  <c r="H135" i="11" s="1"/>
  <c r="B135" i="9"/>
  <c r="F135" i="9"/>
  <c r="H135" i="9" s="1"/>
  <c r="B133" i="4"/>
  <c r="F133" i="4"/>
  <c r="H133" i="4" s="1"/>
  <c r="B134" i="8"/>
  <c r="F134" i="8"/>
  <c r="H134" i="8" s="1"/>
  <c r="B133" i="3"/>
  <c r="F133" i="3"/>
  <c r="H133" i="3" s="1"/>
  <c r="B133" i="5"/>
  <c r="F133" i="5"/>
  <c r="H133" i="5" s="1"/>
  <c r="B132" i="22"/>
  <c r="F132" i="22"/>
  <c r="H132" i="22" s="1"/>
  <c r="B128" i="31"/>
  <c r="F128" i="31"/>
  <c r="H128" i="31" s="1"/>
  <c r="B134" i="6"/>
  <c r="F134" i="6"/>
  <c r="H134" i="6" s="1"/>
  <c r="I132" i="4"/>
  <c r="B130" i="24"/>
  <c r="F130" i="24"/>
  <c r="H130" i="24" s="1"/>
  <c r="I132" i="3"/>
  <c r="B127" i="30"/>
  <c r="B125" i="39"/>
  <c r="F125" i="39"/>
  <c r="H125" i="39" s="1"/>
  <c r="B132" i="25"/>
  <c r="B125" i="43"/>
  <c r="F125" i="43"/>
  <c r="H125" i="43" s="1"/>
  <c r="B136" i="7"/>
  <c r="B124" i="40"/>
  <c r="F124" i="40"/>
  <c r="H124" i="40" s="1"/>
  <c r="B128" i="28"/>
  <c r="B128" i="29"/>
  <c r="F128" i="29"/>
  <c r="H128" i="29" s="1"/>
  <c r="B125" i="37"/>
  <c r="F125" i="37"/>
  <c r="H125" i="37" s="1"/>
  <c r="B131" i="23"/>
  <c r="F131" i="23"/>
  <c r="H131" i="23" s="1"/>
  <c r="B129" i="27"/>
  <c r="B136" i="10"/>
  <c r="F136" i="10"/>
  <c r="H136" i="10" s="1"/>
  <c r="J130" i="46" l="1"/>
  <c r="J155" i="46" s="1"/>
  <c r="B131" i="46"/>
  <c r="F131" i="46"/>
  <c r="J127" i="45"/>
  <c r="B128" i="45"/>
  <c r="F128" i="45"/>
  <c r="H128" i="38"/>
  <c r="H127" i="41"/>
  <c r="B131" i="44"/>
  <c r="E131" i="44"/>
  <c r="F131" i="44" s="1"/>
  <c r="H131" i="44" s="1"/>
  <c r="J127" i="42"/>
  <c r="D129" i="38"/>
  <c r="D129" i="42"/>
  <c r="G128" i="42"/>
  <c r="I128" i="42" s="1"/>
  <c r="D128" i="41"/>
  <c r="E129" i="42"/>
  <c r="J126" i="41"/>
  <c r="J127" i="38"/>
  <c r="J124" i="39"/>
  <c r="J132" i="4"/>
  <c r="J124" i="43"/>
  <c r="J132" i="3"/>
  <c r="J124" i="37"/>
  <c r="J127" i="29"/>
  <c r="J133" i="8"/>
  <c r="J127" i="28"/>
  <c r="J123" i="40"/>
  <c r="J135" i="7"/>
  <c r="G128" i="29"/>
  <c r="I128" i="29" s="1"/>
  <c r="D129" i="29"/>
  <c r="G124" i="40"/>
  <c r="I124" i="40" s="1"/>
  <c r="D125" i="40"/>
  <c r="G136" i="7"/>
  <c r="I136" i="7" s="1"/>
  <c r="D137" i="7"/>
  <c r="G125" i="43"/>
  <c r="I125" i="43" s="1"/>
  <c r="D126" i="43"/>
  <c r="E126" i="43"/>
  <c r="J127" i="31"/>
  <c r="G127" i="30"/>
  <c r="I127" i="30" s="1"/>
  <c r="D128" i="30"/>
  <c r="E128" i="30"/>
  <c r="G130" i="24"/>
  <c r="I130" i="24" s="1"/>
  <c r="D131" i="24"/>
  <c r="G128" i="31"/>
  <c r="I128" i="31" s="1"/>
  <c r="D129" i="31"/>
  <c r="E129" i="31"/>
  <c r="G133" i="5"/>
  <c r="D134" i="5"/>
  <c r="J128" i="27"/>
  <c r="J130" i="23"/>
  <c r="J155" i="23" s="1"/>
  <c r="G133" i="4"/>
  <c r="D134" i="4"/>
  <c r="E134" i="4"/>
  <c r="G135" i="9"/>
  <c r="I135" i="9" s="1"/>
  <c r="D136" i="9"/>
  <c r="D136" i="11"/>
  <c r="G135" i="11"/>
  <c r="I135" i="11" s="1"/>
  <c r="E136" i="11"/>
  <c r="G136" i="10"/>
  <c r="I136" i="10" s="1"/>
  <c r="D137" i="10"/>
  <c r="E137" i="10"/>
  <c r="G129" i="27"/>
  <c r="I129" i="27" s="1"/>
  <c r="D130" i="27"/>
  <c r="G131" i="23"/>
  <c r="I131" i="23" s="1"/>
  <c r="D132" i="23"/>
  <c r="G125" i="37"/>
  <c r="I125" i="37" s="1"/>
  <c r="D126" i="37"/>
  <c r="J126" i="30"/>
  <c r="G128" i="28"/>
  <c r="I128" i="28" s="1"/>
  <c r="D129" i="28"/>
  <c r="J129" i="24"/>
  <c r="J133" i="6"/>
  <c r="G132" i="25"/>
  <c r="I132" i="25" s="1"/>
  <c r="D133" i="25"/>
  <c r="G125" i="39"/>
  <c r="I125" i="39" s="1"/>
  <c r="D126" i="39"/>
  <c r="G134" i="6"/>
  <c r="I134" i="6" s="1"/>
  <c r="D135" i="6"/>
  <c r="E135" i="6"/>
  <c r="J131" i="25"/>
  <c r="G132" i="22"/>
  <c r="I132" i="22" s="1"/>
  <c r="D133" i="22"/>
  <c r="E133" i="22"/>
  <c r="J135" i="10"/>
  <c r="G133" i="3"/>
  <c r="D134" i="3"/>
  <c r="E134" i="3"/>
  <c r="G134" i="8"/>
  <c r="I134" i="8" s="1"/>
  <c r="D135" i="8"/>
  <c r="E135" i="8"/>
  <c r="J132" i="5"/>
  <c r="D132" i="46" l="1"/>
  <c r="G131" i="46"/>
  <c r="I131" i="46" s="1"/>
  <c r="E132" i="46"/>
  <c r="H131" i="46"/>
  <c r="H128" i="45"/>
  <c r="D129" i="45"/>
  <c r="E129" i="45"/>
  <c r="G128" i="45"/>
  <c r="I128" i="45" s="1"/>
  <c r="E129" i="28"/>
  <c r="E137" i="7"/>
  <c r="E129" i="29"/>
  <c r="F129" i="29" s="1"/>
  <c r="H129" i="29" s="1"/>
  <c r="E132" i="23"/>
  <c r="F132" i="23" s="1"/>
  <c r="H132" i="23" s="1"/>
  <c r="B129" i="42"/>
  <c r="E126" i="39"/>
  <c r="E134" i="5"/>
  <c r="E125" i="40"/>
  <c r="F125" i="40" s="1"/>
  <c r="H125" i="40" s="1"/>
  <c r="E133" i="25"/>
  <c r="E130" i="27"/>
  <c r="E136" i="9"/>
  <c r="B128" i="41"/>
  <c r="E126" i="37"/>
  <c r="F126" i="37" s="1"/>
  <c r="H126" i="37" s="1"/>
  <c r="B129" i="38"/>
  <c r="E131" i="24"/>
  <c r="D132" i="44"/>
  <c r="G131" i="44"/>
  <c r="I131" i="44" s="1"/>
  <c r="J128" i="42"/>
  <c r="E129" i="38"/>
  <c r="F129" i="38" s="1"/>
  <c r="G129" i="38" s="1"/>
  <c r="I129" i="38" s="1"/>
  <c r="E128" i="41"/>
  <c r="F128" i="41" s="1"/>
  <c r="G128" i="41" s="1"/>
  <c r="I128" i="41" s="1"/>
  <c r="F129" i="42"/>
  <c r="G129" i="42" s="1"/>
  <c r="I129" i="42" s="1"/>
  <c r="J130" i="44"/>
  <c r="J155" i="44" s="1"/>
  <c r="E132" i="44"/>
  <c r="J128" i="38"/>
  <c r="J127" i="41"/>
  <c r="B135" i="8"/>
  <c r="F135" i="8"/>
  <c r="H135" i="8" s="1"/>
  <c r="I133" i="3"/>
  <c r="B130" i="27"/>
  <c r="F130" i="27"/>
  <c r="H130" i="27" s="1"/>
  <c r="B134" i="4"/>
  <c r="F134" i="4"/>
  <c r="H134" i="4" s="1"/>
  <c r="B129" i="31"/>
  <c r="F129" i="31"/>
  <c r="H129" i="31" s="1"/>
  <c r="B125" i="40"/>
  <c r="B133" i="25"/>
  <c r="F133" i="25"/>
  <c r="H133" i="25" s="1"/>
  <c r="B132" i="23"/>
  <c r="B136" i="9"/>
  <c r="F136" i="9"/>
  <c r="H136" i="9" s="1"/>
  <c r="I133" i="4"/>
  <c r="B134" i="5"/>
  <c r="F134" i="5"/>
  <c r="H134" i="5" s="1"/>
  <c r="B137" i="7"/>
  <c r="F137" i="7"/>
  <c r="H137" i="7" s="1"/>
  <c r="B126" i="39"/>
  <c r="F126" i="39"/>
  <c r="H126" i="39" s="1"/>
  <c r="B129" i="28"/>
  <c r="F129" i="28"/>
  <c r="H129" i="28" s="1"/>
  <c r="B126" i="37"/>
  <c r="I133" i="5"/>
  <c r="B128" i="30"/>
  <c r="F128" i="30"/>
  <c r="H128" i="30" s="1"/>
  <c r="B126" i="43"/>
  <c r="F126" i="43"/>
  <c r="H126" i="43" s="1"/>
  <c r="B134" i="3"/>
  <c r="F134" i="3"/>
  <c r="H134" i="3" s="1"/>
  <c r="B133" i="22"/>
  <c r="F133" i="22"/>
  <c r="H133" i="22" s="1"/>
  <c r="B135" i="6"/>
  <c r="F135" i="6"/>
  <c r="H135" i="6" s="1"/>
  <c r="B137" i="10"/>
  <c r="F137" i="10"/>
  <c r="H137" i="10" s="1"/>
  <c r="B136" i="11"/>
  <c r="F136" i="11"/>
  <c r="H136" i="11" s="1"/>
  <c r="B131" i="24"/>
  <c r="F131" i="24"/>
  <c r="H131" i="24" s="1"/>
  <c r="B129" i="29"/>
  <c r="J128" i="45" l="1"/>
  <c r="B132" i="46"/>
  <c r="F132" i="46"/>
  <c r="B129" i="45"/>
  <c r="F129" i="45"/>
  <c r="H129" i="42"/>
  <c r="H128" i="41"/>
  <c r="J128" i="41" s="1"/>
  <c r="B132" i="44"/>
  <c r="F132" i="44"/>
  <c r="H132" i="44" s="1"/>
  <c r="H129" i="38"/>
  <c r="D130" i="38"/>
  <c r="B130" i="38" s="1"/>
  <c r="D130" i="42"/>
  <c r="D129" i="41"/>
  <c r="E129" i="41"/>
  <c r="E130" i="42"/>
  <c r="E130" i="38"/>
  <c r="J136" i="10"/>
  <c r="J134" i="6"/>
  <c r="J133" i="3"/>
  <c r="J128" i="28"/>
  <c r="J133" i="5"/>
  <c r="J132" i="25"/>
  <c r="J155" i="25" s="1"/>
  <c r="J124" i="40"/>
  <c r="J128" i="31"/>
  <c r="J133" i="4"/>
  <c r="J129" i="27"/>
  <c r="J130" i="24"/>
  <c r="J155" i="24" s="1"/>
  <c r="G131" i="24"/>
  <c r="I131" i="24" s="1"/>
  <c r="D132" i="24"/>
  <c r="E132" i="24"/>
  <c r="D135" i="3"/>
  <c r="G134" i="3"/>
  <c r="G126" i="37"/>
  <c r="I126" i="37" s="1"/>
  <c r="D127" i="37"/>
  <c r="E127" i="37"/>
  <c r="G129" i="29"/>
  <c r="I129" i="29" s="1"/>
  <c r="D130" i="29"/>
  <c r="E130" i="29"/>
  <c r="J127" i="30"/>
  <c r="G136" i="11"/>
  <c r="I136" i="11" s="1"/>
  <c r="D137" i="11"/>
  <c r="E137" i="11"/>
  <c r="J125" i="37"/>
  <c r="J125" i="39"/>
  <c r="G133" i="22"/>
  <c r="I133" i="22" s="1"/>
  <c r="D134" i="22"/>
  <c r="E134" i="22"/>
  <c r="J136" i="7"/>
  <c r="G128" i="30"/>
  <c r="I128" i="30" s="1"/>
  <c r="D129" i="30"/>
  <c r="E129" i="30"/>
  <c r="G129" i="28"/>
  <c r="I129" i="28" s="1"/>
  <c r="D130" i="28"/>
  <c r="E130" i="28"/>
  <c r="G126" i="39"/>
  <c r="I126" i="39" s="1"/>
  <c r="D127" i="39"/>
  <c r="G137" i="7"/>
  <c r="I137" i="7" s="1"/>
  <c r="D138" i="7"/>
  <c r="G134" i="5"/>
  <c r="D135" i="5"/>
  <c r="G136" i="9"/>
  <c r="I136" i="9" s="1"/>
  <c r="D137" i="9"/>
  <c r="E137" i="9"/>
  <c r="G132" i="23"/>
  <c r="I132" i="23" s="1"/>
  <c r="D133" i="23"/>
  <c r="E133" i="23"/>
  <c r="J134" i="8"/>
  <c r="G125" i="40"/>
  <c r="I125" i="40" s="1"/>
  <c r="D126" i="40"/>
  <c r="E126" i="40"/>
  <c r="G129" i="31"/>
  <c r="I129" i="31" s="1"/>
  <c r="D130" i="31"/>
  <c r="G137" i="10"/>
  <c r="I137" i="10" s="1"/>
  <c r="D138" i="10"/>
  <c r="E138" i="10"/>
  <c r="G135" i="6"/>
  <c r="I135" i="6" s="1"/>
  <c r="D136" i="6"/>
  <c r="E136" i="6"/>
  <c r="G126" i="43"/>
  <c r="I126" i="43" s="1"/>
  <c r="D127" i="43"/>
  <c r="E127" i="43"/>
  <c r="G134" i="4"/>
  <c r="D135" i="4"/>
  <c r="G130" i="27"/>
  <c r="I130" i="27" s="1"/>
  <c r="D131" i="27"/>
  <c r="E131" i="27"/>
  <c r="G135" i="8"/>
  <c r="I135" i="8" s="1"/>
  <c r="D136" i="8"/>
  <c r="E136" i="8"/>
  <c r="G133" i="25"/>
  <c r="I133" i="25" s="1"/>
  <c r="D134" i="25"/>
  <c r="J125" i="43"/>
  <c r="J128" i="29"/>
  <c r="E133" i="46" l="1"/>
  <c r="G132" i="46"/>
  <c r="I132" i="46" s="1"/>
  <c r="H132" i="46"/>
  <c r="D133" i="46"/>
  <c r="E133" i="44"/>
  <c r="H129" i="45"/>
  <c r="D130" i="45"/>
  <c r="G129" i="45"/>
  <c r="I129" i="45" s="1"/>
  <c r="J129" i="45" s="1"/>
  <c r="E130" i="45"/>
  <c r="E135" i="5"/>
  <c r="E127" i="39"/>
  <c r="F127" i="39" s="1"/>
  <c r="H127" i="39" s="1"/>
  <c r="B130" i="42"/>
  <c r="E134" i="25"/>
  <c r="E135" i="4"/>
  <c r="E135" i="3"/>
  <c r="F135" i="3" s="1"/>
  <c r="H135" i="3" s="1"/>
  <c r="E138" i="7"/>
  <c r="F138" i="7" s="1"/>
  <c r="H138" i="7" s="1"/>
  <c r="B129" i="41"/>
  <c r="G132" i="44"/>
  <c r="I132" i="44" s="1"/>
  <c r="D133" i="44"/>
  <c r="F133" i="44" s="1"/>
  <c r="D134" i="44" s="1"/>
  <c r="E130" i="31"/>
  <c r="F130" i="31" s="1"/>
  <c r="H130" i="31" s="1"/>
  <c r="F130" i="38"/>
  <c r="H130" i="38" s="1"/>
  <c r="F130" i="42"/>
  <c r="G130" i="42" s="1"/>
  <c r="I130" i="42" s="1"/>
  <c r="F129" i="41"/>
  <c r="D130" i="41" s="1"/>
  <c r="J129" i="38"/>
  <c r="J129" i="42"/>
  <c r="I134" i="4"/>
  <c r="B138" i="10"/>
  <c r="F138" i="10"/>
  <c r="H138" i="10" s="1"/>
  <c r="B135" i="5"/>
  <c r="F135" i="5"/>
  <c r="H135" i="5" s="1"/>
  <c r="B129" i="30"/>
  <c r="F129" i="30"/>
  <c r="H129" i="30" s="1"/>
  <c r="B134" i="22"/>
  <c r="F134" i="22"/>
  <c r="H134" i="22" s="1"/>
  <c r="B127" i="37"/>
  <c r="F127" i="37"/>
  <c r="H127" i="37" s="1"/>
  <c r="B135" i="3"/>
  <c r="B136" i="8"/>
  <c r="F136" i="8"/>
  <c r="H136" i="8" s="1"/>
  <c r="B136" i="6"/>
  <c r="F136" i="6"/>
  <c r="H136" i="6" s="1"/>
  <c r="B137" i="9"/>
  <c r="F137" i="9"/>
  <c r="H137" i="9" s="1"/>
  <c r="I134" i="5"/>
  <c r="B130" i="28"/>
  <c r="F130" i="28"/>
  <c r="H130" i="28" s="1"/>
  <c r="B137" i="11"/>
  <c r="F137" i="11"/>
  <c r="H137" i="11" s="1"/>
  <c r="B130" i="29"/>
  <c r="F130" i="29"/>
  <c r="H130" i="29" s="1"/>
  <c r="B127" i="43"/>
  <c r="F127" i="43"/>
  <c r="H127" i="43" s="1"/>
  <c r="B126" i="40"/>
  <c r="F126" i="40"/>
  <c r="H126" i="40" s="1"/>
  <c r="B133" i="23"/>
  <c r="F133" i="23"/>
  <c r="H133" i="23" s="1"/>
  <c r="B127" i="39"/>
  <c r="B132" i="24"/>
  <c r="F132" i="24"/>
  <c r="H132" i="24" s="1"/>
  <c r="B131" i="27"/>
  <c r="F131" i="27"/>
  <c r="H131" i="27" s="1"/>
  <c r="B134" i="25"/>
  <c r="F134" i="25"/>
  <c r="H134" i="25" s="1"/>
  <c r="B135" i="4"/>
  <c r="F135" i="4"/>
  <c r="H135" i="4" s="1"/>
  <c r="B130" i="31"/>
  <c r="B138" i="7"/>
  <c r="I134" i="3"/>
  <c r="B133" i="46" l="1"/>
  <c r="F133" i="46"/>
  <c r="H133" i="46"/>
  <c r="D131" i="38"/>
  <c r="B131" i="38" s="1"/>
  <c r="H130" i="42"/>
  <c r="F130" i="45"/>
  <c r="B130" i="45"/>
  <c r="B130" i="41"/>
  <c r="H129" i="41"/>
  <c r="B134" i="44"/>
  <c r="B133" i="44"/>
  <c r="H133" i="44"/>
  <c r="E131" i="42"/>
  <c r="D131" i="42"/>
  <c r="G130" i="38"/>
  <c r="I130" i="38" s="1"/>
  <c r="G129" i="41"/>
  <c r="I129" i="41" s="1"/>
  <c r="E130" i="41"/>
  <c r="F130" i="41" s="1"/>
  <c r="D131" i="41" s="1"/>
  <c r="E134" i="44"/>
  <c r="F134" i="44" s="1"/>
  <c r="D135" i="44" s="1"/>
  <c r="E131" i="38"/>
  <c r="G133" i="44"/>
  <c r="I133" i="44" s="1"/>
  <c r="J137" i="7"/>
  <c r="J125" i="40"/>
  <c r="J128" i="30"/>
  <c r="J134" i="5"/>
  <c r="J126" i="39"/>
  <c r="G130" i="31"/>
  <c r="I130" i="31" s="1"/>
  <c r="D131" i="31"/>
  <c r="G135" i="4"/>
  <c r="D136" i="4"/>
  <c r="G134" i="25"/>
  <c r="I134" i="25" s="1"/>
  <c r="D135" i="25"/>
  <c r="D133" i="24"/>
  <c r="G132" i="24"/>
  <c r="I132" i="24" s="1"/>
  <c r="E133" i="24"/>
  <c r="G127" i="39"/>
  <c r="I127" i="39" s="1"/>
  <c r="D128" i="39"/>
  <c r="G133" i="23"/>
  <c r="I133" i="23" s="1"/>
  <c r="D134" i="23"/>
  <c r="E134" i="23"/>
  <c r="J135" i="6"/>
  <c r="J135" i="8"/>
  <c r="G130" i="29"/>
  <c r="I130" i="29" s="1"/>
  <c r="D131" i="29"/>
  <c r="G130" i="28"/>
  <c r="I130" i="28" s="1"/>
  <c r="D131" i="28"/>
  <c r="E131" i="28"/>
  <c r="D138" i="9"/>
  <c r="G137" i="9"/>
  <c r="I137" i="9" s="1"/>
  <c r="G136" i="6"/>
  <c r="I136" i="6" s="1"/>
  <c r="D137" i="6"/>
  <c r="E137" i="6"/>
  <c r="G136" i="8"/>
  <c r="I136" i="8" s="1"/>
  <c r="D137" i="8"/>
  <c r="G127" i="37"/>
  <c r="I127" i="37" s="1"/>
  <c r="D128" i="37"/>
  <c r="G129" i="30"/>
  <c r="I129" i="30" s="1"/>
  <c r="D130" i="30"/>
  <c r="G135" i="5"/>
  <c r="D136" i="5"/>
  <c r="G138" i="10"/>
  <c r="I138" i="10" s="1"/>
  <c r="D139" i="10"/>
  <c r="J134" i="3"/>
  <c r="G138" i="7"/>
  <c r="I138" i="7" s="1"/>
  <c r="D139" i="7"/>
  <c r="J126" i="43"/>
  <c r="G131" i="27"/>
  <c r="I131" i="27" s="1"/>
  <c r="D132" i="27"/>
  <c r="J129" i="29"/>
  <c r="J129" i="28"/>
  <c r="G126" i="40"/>
  <c r="I126" i="40" s="1"/>
  <c r="D127" i="40"/>
  <c r="E127" i="40"/>
  <c r="G127" i="43"/>
  <c r="I127" i="43" s="1"/>
  <c r="D128" i="43"/>
  <c r="D138" i="11"/>
  <c r="G137" i="11"/>
  <c r="I137" i="11" s="1"/>
  <c r="J130" i="27"/>
  <c r="G135" i="3"/>
  <c r="D136" i="3"/>
  <c r="E136" i="3"/>
  <c r="G134" i="22"/>
  <c r="I134" i="22" s="1"/>
  <c r="D135" i="22"/>
  <c r="J126" i="37"/>
  <c r="J137" i="10"/>
  <c r="J129" i="31"/>
  <c r="J134" i="4"/>
  <c r="F131" i="38" l="1"/>
  <c r="H131" i="38" s="1"/>
  <c r="D134" i="46"/>
  <c r="E134" i="46"/>
  <c r="G133" i="46"/>
  <c r="I133" i="46" s="1"/>
  <c r="G130" i="45"/>
  <c r="I130" i="45" s="1"/>
  <c r="D131" i="45"/>
  <c r="E131" i="45"/>
  <c r="H130" i="45"/>
  <c r="H130" i="41"/>
  <c r="E137" i="8"/>
  <c r="E136" i="4"/>
  <c r="F136" i="4" s="1"/>
  <c r="H136" i="4" s="1"/>
  <c r="E139" i="7"/>
  <c r="F139" i="7" s="1"/>
  <c r="H139" i="7" s="1"/>
  <c r="E128" i="39"/>
  <c r="B131" i="42"/>
  <c r="E130" i="30"/>
  <c r="E138" i="11"/>
  <c r="F138" i="11" s="1"/>
  <c r="H138" i="11" s="1"/>
  <c r="E132" i="27"/>
  <c r="F132" i="27" s="1"/>
  <c r="H132" i="27" s="1"/>
  <c r="E136" i="5"/>
  <c r="E138" i="9"/>
  <c r="F138" i="9" s="1"/>
  <c r="H138" i="9" s="1"/>
  <c r="E131" i="29"/>
  <c r="F131" i="29" s="1"/>
  <c r="H131" i="29" s="1"/>
  <c r="E135" i="25"/>
  <c r="E139" i="10"/>
  <c r="E135" i="22"/>
  <c r="F135" i="22" s="1"/>
  <c r="H135" i="22" s="1"/>
  <c r="E128" i="43"/>
  <c r="F128" i="43" s="1"/>
  <c r="H128" i="43" s="1"/>
  <c r="B131" i="41"/>
  <c r="H134" i="44"/>
  <c r="B135" i="44"/>
  <c r="F131" i="42"/>
  <c r="H131" i="42" s="1"/>
  <c r="E131" i="31"/>
  <c r="E128" i="37"/>
  <c r="E131" i="41"/>
  <c r="F131" i="41" s="1"/>
  <c r="D132" i="41" s="1"/>
  <c r="G130" i="41"/>
  <c r="I130" i="41" s="1"/>
  <c r="E135" i="44"/>
  <c r="F135" i="44" s="1"/>
  <c r="D136" i="44" s="1"/>
  <c r="G134" i="44"/>
  <c r="I134" i="44" s="1"/>
  <c r="D132" i="38"/>
  <c r="G131" i="38"/>
  <c r="I131" i="38" s="1"/>
  <c r="J130" i="38"/>
  <c r="J155" i="38" s="1"/>
  <c r="J130" i="42"/>
  <c r="J155" i="42" s="1"/>
  <c r="B136" i="3"/>
  <c r="F136" i="3"/>
  <c r="H136" i="3" s="1"/>
  <c r="B128" i="37"/>
  <c r="F128" i="37"/>
  <c r="H128" i="37" s="1"/>
  <c r="B134" i="23"/>
  <c r="F134" i="23"/>
  <c r="H134" i="23" s="1"/>
  <c r="B135" i="22"/>
  <c r="I135" i="3"/>
  <c r="B130" i="30"/>
  <c r="F130" i="30"/>
  <c r="H130" i="30" s="1"/>
  <c r="B135" i="25"/>
  <c r="F135" i="25"/>
  <c r="H135" i="25" s="1"/>
  <c r="I135" i="4"/>
  <c r="B127" i="40"/>
  <c r="F127" i="40"/>
  <c r="H127" i="40" s="1"/>
  <c r="B136" i="5"/>
  <c r="F136" i="5"/>
  <c r="H136" i="5" s="1"/>
  <c r="B137" i="6"/>
  <c r="F137" i="6"/>
  <c r="H137" i="6" s="1"/>
  <c r="B138" i="9"/>
  <c r="B131" i="28"/>
  <c r="F131" i="28"/>
  <c r="H131" i="28" s="1"/>
  <c r="B136" i="4"/>
  <c r="B138" i="11"/>
  <c r="B128" i="43"/>
  <c r="B132" i="27"/>
  <c r="B139" i="7"/>
  <c r="B139" i="10"/>
  <c r="F139" i="10"/>
  <c r="H139" i="10" s="1"/>
  <c r="I135" i="5"/>
  <c r="B137" i="8"/>
  <c r="F137" i="8"/>
  <c r="H137" i="8" s="1"/>
  <c r="B131" i="29"/>
  <c r="B128" i="39"/>
  <c r="F128" i="39"/>
  <c r="H128" i="39" s="1"/>
  <c r="B133" i="24"/>
  <c r="F133" i="24"/>
  <c r="H133" i="24" s="1"/>
  <c r="B131" i="31"/>
  <c r="F131" i="31"/>
  <c r="H131" i="31" s="1"/>
  <c r="F134" i="46" l="1"/>
  <c r="B134" i="46"/>
  <c r="D132" i="42"/>
  <c r="B132" i="42" s="1"/>
  <c r="G131" i="42"/>
  <c r="I131" i="42" s="1"/>
  <c r="B131" i="45"/>
  <c r="F131" i="45"/>
  <c r="H131" i="45" s="1"/>
  <c r="J130" i="45"/>
  <c r="J155" i="45" s="1"/>
  <c r="B132" i="41"/>
  <c r="H131" i="41"/>
  <c r="H135" i="44"/>
  <c r="B132" i="38"/>
  <c r="J129" i="41"/>
  <c r="E132" i="38"/>
  <c r="F132" i="38" s="1"/>
  <c r="D133" i="38" s="1"/>
  <c r="G135" i="44"/>
  <c r="I135" i="44" s="1"/>
  <c r="G131" i="41"/>
  <c r="I131" i="41" s="1"/>
  <c r="J130" i="41"/>
  <c r="E136" i="44"/>
  <c r="F136" i="44" s="1"/>
  <c r="H136" i="44" s="1"/>
  <c r="B136" i="44"/>
  <c r="E132" i="41"/>
  <c r="F132" i="41" s="1"/>
  <c r="G132" i="41" s="1"/>
  <c r="I132" i="41" s="1"/>
  <c r="E132" i="42"/>
  <c r="J127" i="43"/>
  <c r="J136" i="6"/>
  <c r="J126" i="40"/>
  <c r="J130" i="28"/>
  <c r="J138" i="7"/>
  <c r="J129" i="30"/>
  <c r="J127" i="39"/>
  <c r="G139" i="7"/>
  <c r="I139" i="7" s="1"/>
  <c r="D140" i="7"/>
  <c r="G138" i="11"/>
  <c r="I138" i="11" s="1"/>
  <c r="D139" i="11"/>
  <c r="G136" i="4"/>
  <c r="D137" i="4"/>
  <c r="E137" i="4"/>
  <c r="G131" i="28"/>
  <c r="I131" i="28" s="1"/>
  <c r="D132" i="28"/>
  <c r="E132" i="28"/>
  <c r="G138" i="9"/>
  <c r="I138" i="9" s="1"/>
  <c r="D139" i="9"/>
  <c r="G127" i="40"/>
  <c r="I127" i="40" s="1"/>
  <c r="D128" i="40"/>
  <c r="E128" i="40"/>
  <c r="G130" i="30"/>
  <c r="I130" i="30" s="1"/>
  <c r="D131" i="30"/>
  <c r="E131" i="30"/>
  <c r="G135" i="22"/>
  <c r="I135" i="22" s="1"/>
  <c r="D136" i="22"/>
  <c r="E136" i="22"/>
  <c r="G134" i="23"/>
  <c r="I134" i="23" s="1"/>
  <c r="D135" i="23"/>
  <c r="G128" i="37"/>
  <c r="I128" i="37" s="1"/>
  <c r="D129" i="37"/>
  <c r="E129" i="37"/>
  <c r="G131" i="31"/>
  <c r="I131" i="31" s="1"/>
  <c r="D132" i="31"/>
  <c r="E132" i="31"/>
  <c r="G128" i="39"/>
  <c r="I128" i="39" s="1"/>
  <c r="D129" i="39"/>
  <c r="J135" i="5"/>
  <c r="J135" i="4"/>
  <c r="G133" i="24"/>
  <c r="I133" i="24" s="1"/>
  <c r="D134" i="24"/>
  <c r="G131" i="29"/>
  <c r="I131" i="29" s="1"/>
  <c r="D132" i="29"/>
  <c r="G137" i="8"/>
  <c r="I137" i="8" s="1"/>
  <c r="D138" i="8"/>
  <c r="G139" i="10"/>
  <c r="I139" i="10" s="1"/>
  <c r="D140" i="10"/>
  <c r="G132" i="27"/>
  <c r="I132" i="27" s="1"/>
  <c r="D133" i="27"/>
  <c r="G128" i="43"/>
  <c r="I128" i="43" s="1"/>
  <c r="D129" i="43"/>
  <c r="E129" i="43"/>
  <c r="J127" i="37"/>
  <c r="J130" i="31"/>
  <c r="J130" i="29"/>
  <c r="J138" i="10"/>
  <c r="G137" i="6"/>
  <c r="I137" i="6" s="1"/>
  <c r="D138" i="6"/>
  <c r="G136" i="5"/>
  <c r="D137" i="5"/>
  <c r="G135" i="25"/>
  <c r="I135" i="25" s="1"/>
  <c r="D136" i="25"/>
  <c r="E136" i="25"/>
  <c r="J135" i="3"/>
  <c r="J136" i="8"/>
  <c r="J131" i="27"/>
  <c r="G136" i="3"/>
  <c r="D137" i="3"/>
  <c r="F132" i="42" l="1"/>
  <c r="H132" i="42" s="1"/>
  <c r="E135" i="46"/>
  <c r="H134" i="46"/>
  <c r="D135" i="46"/>
  <c r="G134" i="46"/>
  <c r="I134" i="46" s="1"/>
  <c r="E132" i="45"/>
  <c r="D132" i="45"/>
  <c r="G131" i="45"/>
  <c r="I131" i="45" s="1"/>
  <c r="E140" i="10"/>
  <c r="F140" i="10" s="1"/>
  <c r="H140" i="10" s="1"/>
  <c r="E132" i="29"/>
  <c r="E137" i="5"/>
  <c r="F137" i="5" s="1"/>
  <c r="H137" i="5" s="1"/>
  <c r="E140" i="7"/>
  <c r="F140" i="7" s="1"/>
  <c r="H140" i="7" s="1"/>
  <c r="E138" i="6"/>
  <c r="F138" i="6" s="1"/>
  <c r="H138" i="6" s="1"/>
  <c r="E139" i="9"/>
  <c r="E139" i="11"/>
  <c r="F139" i="11" s="1"/>
  <c r="H139" i="11" s="1"/>
  <c r="E137" i="3"/>
  <c r="F137" i="3" s="1"/>
  <c r="H137" i="3" s="1"/>
  <c r="E133" i="27"/>
  <c r="F133" i="27" s="1"/>
  <c r="H133" i="27" s="1"/>
  <c r="E138" i="8"/>
  <c r="E129" i="39"/>
  <c r="F129" i="39" s="1"/>
  <c r="H129" i="39" s="1"/>
  <c r="E135" i="23"/>
  <c r="F135" i="23" s="1"/>
  <c r="H135" i="23" s="1"/>
  <c r="H132" i="41"/>
  <c r="J155" i="41"/>
  <c r="H132" i="38"/>
  <c r="E134" i="24"/>
  <c r="F134" i="24" s="1"/>
  <c r="H134" i="24" s="1"/>
  <c r="G132" i="38"/>
  <c r="I132" i="38" s="1"/>
  <c r="D137" i="44"/>
  <c r="G136" i="44"/>
  <c r="I136" i="44" s="1"/>
  <c r="D133" i="41"/>
  <c r="D133" i="42"/>
  <c r="G132" i="42"/>
  <c r="I132" i="42" s="1"/>
  <c r="E133" i="38"/>
  <c r="F133" i="38" s="1"/>
  <c r="H133" i="38" s="1"/>
  <c r="B133" i="38"/>
  <c r="E133" i="41"/>
  <c r="B136" i="25"/>
  <c r="F136" i="25"/>
  <c r="H136" i="25" s="1"/>
  <c r="I136" i="5"/>
  <c r="B133" i="27"/>
  <c r="B134" i="24"/>
  <c r="B132" i="31"/>
  <c r="F132" i="31"/>
  <c r="H132" i="31" s="1"/>
  <c r="B131" i="30"/>
  <c r="F131" i="30"/>
  <c r="H131" i="30" s="1"/>
  <c r="B137" i="4"/>
  <c r="F137" i="4"/>
  <c r="H137" i="4" s="1"/>
  <c r="B129" i="43"/>
  <c r="F129" i="43"/>
  <c r="H129" i="43" s="1"/>
  <c r="B132" i="29"/>
  <c r="F132" i="29"/>
  <c r="H132" i="29" s="1"/>
  <c r="B129" i="39"/>
  <c r="B136" i="22"/>
  <c r="F136" i="22"/>
  <c r="H136" i="22" s="1"/>
  <c r="B132" i="28"/>
  <c r="F132" i="28"/>
  <c r="H132" i="28" s="1"/>
  <c r="I136" i="4"/>
  <c r="B138" i="6"/>
  <c r="B138" i="8"/>
  <c r="F138" i="8"/>
  <c r="H138" i="8" s="1"/>
  <c r="B135" i="23"/>
  <c r="B139" i="9"/>
  <c r="F139" i="9"/>
  <c r="H139" i="9" s="1"/>
  <c r="B140" i="7"/>
  <c r="B137" i="3"/>
  <c r="I136" i="3"/>
  <c r="B137" i="5"/>
  <c r="B140" i="10"/>
  <c r="B129" i="37"/>
  <c r="F129" i="37"/>
  <c r="H129" i="37" s="1"/>
  <c r="B128" i="40"/>
  <c r="F128" i="40"/>
  <c r="H128" i="40" s="1"/>
  <c r="B139" i="11"/>
  <c r="B135" i="46" l="1"/>
  <c r="F135" i="46"/>
  <c r="F132" i="45"/>
  <c r="H132" i="45" s="1"/>
  <c r="B132" i="45"/>
  <c r="B133" i="41"/>
  <c r="F133" i="41"/>
  <c r="G133" i="41" s="1"/>
  <c r="I133" i="41" s="1"/>
  <c r="E137" i="44"/>
  <c r="F137" i="44" s="1"/>
  <c r="H137" i="44" s="1"/>
  <c r="B137" i="44"/>
  <c r="D134" i="38"/>
  <c r="G133" i="38"/>
  <c r="I133" i="38" s="1"/>
  <c r="E133" i="42"/>
  <c r="F133" i="42" s="1"/>
  <c r="H133" i="42" s="1"/>
  <c r="B133" i="42"/>
  <c r="J131" i="29"/>
  <c r="J128" i="43"/>
  <c r="J130" i="30"/>
  <c r="J131" i="31"/>
  <c r="J131" i="28"/>
  <c r="J132" i="27"/>
  <c r="J139" i="7"/>
  <c r="J137" i="8"/>
  <c r="J137" i="6"/>
  <c r="J136" i="3"/>
  <c r="D141" i="7"/>
  <c r="G140" i="7"/>
  <c r="I140" i="7" s="1"/>
  <c r="G139" i="9"/>
  <c r="I139" i="9" s="1"/>
  <c r="D140" i="9"/>
  <c r="G135" i="23"/>
  <c r="I135" i="23" s="1"/>
  <c r="D136" i="23"/>
  <c r="E136" i="23"/>
  <c r="J136" i="4"/>
  <c r="G137" i="4"/>
  <c r="D138" i="4"/>
  <c r="E138" i="4"/>
  <c r="G131" i="30"/>
  <c r="I131" i="30" s="1"/>
  <c r="D132" i="30"/>
  <c r="E132" i="30"/>
  <c r="G132" i="31"/>
  <c r="I132" i="31" s="1"/>
  <c r="D133" i="31"/>
  <c r="J139" i="10"/>
  <c r="J136" i="5"/>
  <c r="G139" i="11"/>
  <c r="I139" i="11" s="1"/>
  <c r="D140" i="11"/>
  <c r="E140" i="11"/>
  <c r="G128" i="40"/>
  <c r="I128" i="40" s="1"/>
  <c r="D129" i="40"/>
  <c r="G129" i="37"/>
  <c r="I129" i="37" s="1"/>
  <c r="D130" i="37"/>
  <c r="G140" i="10"/>
  <c r="I140" i="10" s="1"/>
  <c r="D141" i="10"/>
  <c r="G137" i="5"/>
  <c r="D138" i="5"/>
  <c r="E138" i="5"/>
  <c r="G137" i="3"/>
  <c r="D138" i="3"/>
  <c r="J128" i="39"/>
  <c r="G138" i="8"/>
  <c r="I138" i="8" s="1"/>
  <c r="D139" i="8"/>
  <c r="G138" i="6"/>
  <c r="I138" i="6" s="1"/>
  <c r="D139" i="6"/>
  <c r="G132" i="28"/>
  <c r="I132" i="28" s="1"/>
  <c r="D133" i="28"/>
  <c r="E133" i="28"/>
  <c r="G136" i="22"/>
  <c r="I136" i="22" s="1"/>
  <c r="D137" i="22"/>
  <c r="G129" i="39"/>
  <c r="I129" i="39" s="1"/>
  <c r="D130" i="39"/>
  <c r="G132" i="29"/>
  <c r="I132" i="29" s="1"/>
  <c r="D133" i="29"/>
  <c r="G129" i="43"/>
  <c r="I129" i="43" s="1"/>
  <c r="D130" i="43"/>
  <c r="E130" i="43"/>
  <c r="J127" i="40"/>
  <c r="J128" i="37"/>
  <c r="G134" i="24"/>
  <c r="I134" i="24" s="1"/>
  <c r="D135" i="24"/>
  <c r="G133" i="27"/>
  <c r="I133" i="27" s="1"/>
  <c r="D134" i="27"/>
  <c r="E134" i="27"/>
  <c r="G136" i="25"/>
  <c r="I136" i="25" s="1"/>
  <c r="D137" i="25"/>
  <c r="E137" i="25"/>
  <c r="D136" i="46" l="1"/>
  <c r="G135" i="46"/>
  <c r="I135" i="46" s="1"/>
  <c r="E136" i="46"/>
  <c r="H135" i="46"/>
  <c r="G132" i="45"/>
  <c r="I132" i="45" s="1"/>
  <c r="D133" i="45"/>
  <c r="E133" i="45"/>
  <c r="E139" i="6"/>
  <c r="F139" i="6" s="1"/>
  <c r="H139" i="6" s="1"/>
  <c r="E130" i="39"/>
  <c r="E138" i="3"/>
  <c r="E140" i="9"/>
  <c r="F140" i="9" s="1"/>
  <c r="H140" i="9" s="1"/>
  <c r="E141" i="7"/>
  <c r="F141" i="7" s="1"/>
  <c r="H141" i="7" s="1"/>
  <c r="E139" i="8"/>
  <c r="E141" i="10"/>
  <c r="E129" i="40"/>
  <c r="F129" i="40" s="1"/>
  <c r="H129" i="40" s="1"/>
  <c r="E133" i="29"/>
  <c r="F133" i="29" s="1"/>
  <c r="H133" i="29" s="1"/>
  <c r="E137" i="22"/>
  <c r="H133" i="41"/>
  <c r="E133" i="31"/>
  <c r="F133" i="31" s="1"/>
  <c r="H133" i="31" s="1"/>
  <c r="E130" i="37"/>
  <c r="F130" i="37" s="1"/>
  <c r="H130" i="37" s="1"/>
  <c r="E135" i="24"/>
  <c r="D134" i="41"/>
  <c r="D138" i="44"/>
  <c r="G137" i="44"/>
  <c r="I137" i="44" s="1"/>
  <c r="G133" i="42"/>
  <c r="I133" i="42" s="1"/>
  <c r="D134" i="42"/>
  <c r="E134" i="41"/>
  <c r="E134" i="38"/>
  <c r="F134" i="38" s="1"/>
  <c r="H134" i="38" s="1"/>
  <c r="B134" i="38"/>
  <c r="B130" i="43"/>
  <c r="F130" i="43"/>
  <c r="H130" i="43" s="1"/>
  <c r="B133" i="28"/>
  <c r="F133" i="28"/>
  <c r="H133" i="28" s="1"/>
  <c r="B141" i="10"/>
  <c r="F141" i="10"/>
  <c r="H141" i="10" s="1"/>
  <c r="B138" i="4"/>
  <c r="F138" i="4"/>
  <c r="H138" i="4" s="1"/>
  <c r="B136" i="23"/>
  <c r="F136" i="23"/>
  <c r="H136" i="23" s="1"/>
  <c r="B134" i="27"/>
  <c r="F134" i="27"/>
  <c r="H134" i="27" s="1"/>
  <c r="B137" i="25"/>
  <c r="F137" i="25"/>
  <c r="H137" i="25" s="1"/>
  <c r="B137" i="22"/>
  <c r="F137" i="22"/>
  <c r="H137" i="22" s="1"/>
  <c r="B138" i="5"/>
  <c r="F138" i="5"/>
  <c r="H138" i="5" s="1"/>
  <c r="B140" i="11"/>
  <c r="F140" i="11"/>
  <c r="H140" i="11" s="1"/>
  <c r="B132" i="30"/>
  <c r="F132" i="30"/>
  <c r="H132" i="30" s="1"/>
  <c r="I137" i="4"/>
  <c r="B130" i="39"/>
  <c r="F130" i="39"/>
  <c r="H130" i="39" s="1"/>
  <c r="B139" i="8"/>
  <c r="F139" i="8"/>
  <c r="H139" i="8" s="1"/>
  <c r="B138" i="3"/>
  <c r="F138" i="3"/>
  <c r="H138" i="3" s="1"/>
  <c r="I137" i="5"/>
  <c r="B129" i="40"/>
  <c r="B133" i="31"/>
  <c r="B135" i="24"/>
  <c r="F135" i="24"/>
  <c r="H135" i="24" s="1"/>
  <c r="B133" i="29"/>
  <c r="B139" i="6"/>
  <c r="I137" i="3"/>
  <c r="B130" i="37"/>
  <c r="B140" i="9"/>
  <c r="B141" i="7"/>
  <c r="F136" i="46" l="1"/>
  <c r="B136" i="46"/>
  <c r="F133" i="45"/>
  <c r="H133" i="45" s="1"/>
  <c r="B133" i="45"/>
  <c r="B134" i="41"/>
  <c r="B138" i="44"/>
  <c r="F134" i="41"/>
  <c r="H134" i="41" s="1"/>
  <c r="E138" i="44"/>
  <c r="F138" i="44" s="1"/>
  <c r="E139" i="44" s="1"/>
  <c r="D135" i="38"/>
  <c r="G134" i="38"/>
  <c r="I134" i="38" s="1"/>
  <c r="E134" i="42"/>
  <c r="F134" i="42" s="1"/>
  <c r="H134" i="42" s="1"/>
  <c r="B134" i="42"/>
  <c r="J129" i="37"/>
  <c r="J138" i="6"/>
  <c r="J132" i="29"/>
  <c r="J129" i="43"/>
  <c r="G141" i="7"/>
  <c r="I141" i="7" s="1"/>
  <c r="D142" i="7"/>
  <c r="J132" i="31"/>
  <c r="G130" i="37"/>
  <c r="I130" i="37" s="1"/>
  <c r="D131" i="37"/>
  <c r="J138" i="8"/>
  <c r="J129" i="39"/>
  <c r="G135" i="24"/>
  <c r="I135" i="24" s="1"/>
  <c r="D136" i="24"/>
  <c r="J131" i="30"/>
  <c r="J137" i="5"/>
  <c r="G139" i="8"/>
  <c r="I139" i="8" s="1"/>
  <c r="D140" i="8"/>
  <c r="G130" i="39"/>
  <c r="I130" i="39" s="1"/>
  <c r="D131" i="39"/>
  <c r="J137" i="4"/>
  <c r="G140" i="11"/>
  <c r="I140" i="11" s="1"/>
  <c r="D141" i="11"/>
  <c r="G138" i="5"/>
  <c r="D139" i="5"/>
  <c r="G137" i="22"/>
  <c r="I137" i="22" s="1"/>
  <c r="D138" i="22"/>
  <c r="J133" i="27"/>
  <c r="G134" i="27"/>
  <c r="I134" i="27" s="1"/>
  <c r="D135" i="27"/>
  <c r="G136" i="23"/>
  <c r="I136" i="23" s="1"/>
  <c r="D137" i="23"/>
  <c r="E137" i="23"/>
  <c r="G140" i="9"/>
  <c r="I140" i="9" s="1"/>
  <c r="D141" i="9"/>
  <c r="J128" i="40"/>
  <c r="J137" i="3"/>
  <c r="G139" i="6"/>
  <c r="I139" i="6" s="1"/>
  <c r="D140" i="6"/>
  <c r="G133" i="29"/>
  <c r="I133" i="29" s="1"/>
  <c r="D134" i="29"/>
  <c r="J140" i="7"/>
  <c r="G133" i="31"/>
  <c r="I133" i="31" s="1"/>
  <c r="D134" i="31"/>
  <c r="G129" i="40"/>
  <c r="I129" i="40" s="1"/>
  <c r="D130" i="40"/>
  <c r="G138" i="3"/>
  <c r="D139" i="3"/>
  <c r="G132" i="30"/>
  <c r="I132" i="30" s="1"/>
  <c r="D133" i="30"/>
  <c r="J140" i="10"/>
  <c r="J132" i="28"/>
  <c r="G137" i="25"/>
  <c r="I137" i="25" s="1"/>
  <c r="D138" i="25"/>
  <c r="E138" i="25"/>
  <c r="G138" i="4"/>
  <c r="D139" i="4"/>
  <c r="G141" i="10"/>
  <c r="I141" i="10" s="1"/>
  <c r="D142" i="10"/>
  <c r="G133" i="28"/>
  <c r="I133" i="28" s="1"/>
  <c r="D134" i="28"/>
  <c r="E134" i="28"/>
  <c r="G130" i="43"/>
  <c r="I130" i="43" s="1"/>
  <c r="D131" i="43"/>
  <c r="E137" i="46" l="1"/>
  <c r="G136" i="46"/>
  <c r="I136" i="46" s="1"/>
  <c r="H136" i="46"/>
  <c r="D137" i="46"/>
  <c r="D135" i="41"/>
  <c r="D134" i="45"/>
  <c r="B134" i="45" s="1"/>
  <c r="G133" i="45"/>
  <c r="I133" i="45" s="1"/>
  <c r="E134" i="45"/>
  <c r="E139" i="4"/>
  <c r="E134" i="29"/>
  <c r="E131" i="43"/>
  <c r="E139" i="3"/>
  <c r="F139" i="3" s="1"/>
  <c r="H139" i="3" s="1"/>
  <c r="E131" i="39"/>
  <c r="E139" i="5"/>
  <c r="F139" i="5" s="1"/>
  <c r="H139" i="5" s="1"/>
  <c r="E142" i="10"/>
  <c r="E140" i="6"/>
  <c r="F140" i="6" s="1"/>
  <c r="H140" i="6" s="1"/>
  <c r="E141" i="9"/>
  <c r="E138" i="22"/>
  <c r="F138" i="22" s="1"/>
  <c r="H138" i="22" s="1"/>
  <c r="E141" i="11"/>
  <c r="E142" i="7"/>
  <c r="F142" i="7" s="1"/>
  <c r="H142" i="7" s="1"/>
  <c r="E133" i="30"/>
  <c r="F133" i="30" s="1"/>
  <c r="H133" i="30" s="1"/>
  <c r="E130" i="40"/>
  <c r="E135" i="27"/>
  <c r="F135" i="27" s="1"/>
  <c r="H135" i="27" s="1"/>
  <c r="E140" i="8"/>
  <c r="F140" i="8" s="1"/>
  <c r="H140" i="8" s="1"/>
  <c r="G134" i="41"/>
  <c r="I134" i="41" s="1"/>
  <c r="G138" i="44"/>
  <c r="I138" i="44" s="1"/>
  <c r="H138" i="44"/>
  <c r="E134" i="31"/>
  <c r="F134" i="31" s="1"/>
  <c r="H134" i="31" s="1"/>
  <c r="E131" i="37"/>
  <c r="F131" i="37" s="1"/>
  <c r="H131" i="37" s="1"/>
  <c r="E136" i="24"/>
  <c r="F136" i="24" s="1"/>
  <c r="H136" i="24" s="1"/>
  <c r="D139" i="44"/>
  <c r="D135" i="42"/>
  <c r="G134" i="42"/>
  <c r="I134" i="42" s="1"/>
  <c r="E135" i="38"/>
  <c r="F135" i="38" s="1"/>
  <c r="H135" i="38" s="1"/>
  <c r="B135" i="38"/>
  <c r="E135" i="41"/>
  <c r="F135" i="41" s="1"/>
  <c r="H135" i="41" s="1"/>
  <c r="B135" i="41"/>
  <c r="B139" i="4"/>
  <c r="F139" i="4"/>
  <c r="H139" i="4" s="1"/>
  <c r="B133" i="30"/>
  <c r="I138" i="3"/>
  <c r="B140" i="6"/>
  <c r="B137" i="23"/>
  <c r="F137" i="23"/>
  <c r="H137" i="23" s="1"/>
  <c r="B140" i="8"/>
  <c r="B142" i="10"/>
  <c r="F142" i="10"/>
  <c r="H142" i="10" s="1"/>
  <c r="I138" i="4"/>
  <c r="B134" i="31"/>
  <c r="B134" i="29"/>
  <c r="F134" i="29"/>
  <c r="H134" i="29" s="1"/>
  <c r="B141" i="9"/>
  <c r="F141" i="9"/>
  <c r="H141" i="9" s="1"/>
  <c r="B141" i="11"/>
  <c r="F141" i="11"/>
  <c r="H141" i="11" s="1"/>
  <c r="B131" i="39"/>
  <c r="F131" i="39"/>
  <c r="H131" i="39" s="1"/>
  <c r="B136" i="24"/>
  <c r="B134" i="28"/>
  <c r="F134" i="28"/>
  <c r="H134" i="28" s="1"/>
  <c r="B130" i="40"/>
  <c r="F130" i="40"/>
  <c r="H130" i="40" s="1"/>
  <c r="B139" i="5"/>
  <c r="B131" i="37"/>
  <c r="B142" i="7"/>
  <c r="B131" i="43"/>
  <c r="F131" i="43"/>
  <c r="H131" i="43" s="1"/>
  <c r="B138" i="25"/>
  <c r="F138" i="25"/>
  <c r="H138" i="25" s="1"/>
  <c r="B139" i="3"/>
  <c r="B135" i="27"/>
  <c r="B138" i="22"/>
  <c r="I138" i="5"/>
  <c r="F137" i="46" l="1"/>
  <c r="B137" i="46"/>
  <c r="H137" i="46"/>
  <c r="F134" i="45"/>
  <c r="E135" i="45" s="1"/>
  <c r="B139" i="44"/>
  <c r="F139" i="44"/>
  <c r="D140" i="44" s="1"/>
  <c r="D136" i="41"/>
  <c r="G135" i="41"/>
  <c r="I135" i="41" s="1"/>
  <c r="E135" i="42"/>
  <c r="F135" i="42" s="1"/>
  <c r="H135" i="42" s="1"/>
  <c r="B135" i="42"/>
  <c r="G135" i="38"/>
  <c r="I135" i="38" s="1"/>
  <c r="D136" i="38"/>
  <c r="J138" i="5"/>
  <c r="J133" i="28"/>
  <c r="J130" i="37"/>
  <c r="J155" i="37" s="1"/>
  <c r="J141" i="10"/>
  <c r="J139" i="6"/>
  <c r="J138" i="3"/>
  <c r="G138" i="22"/>
  <c r="I138" i="22" s="1"/>
  <c r="D139" i="22"/>
  <c r="G138" i="25"/>
  <c r="I138" i="25" s="1"/>
  <c r="D139" i="25"/>
  <c r="E139" i="25"/>
  <c r="G142" i="7"/>
  <c r="I142" i="7" s="1"/>
  <c r="D143" i="7"/>
  <c r="G136" i="24"/>
  <c r="I136" i="24" s="1"/>
  <c r="D137" i="24"/>
  <c r="G131" i="39"/>
  <c r="I131" i="39" s="1"/>
  <c r="D132" i="39"/>
  <c r="G134" i="31"/>
  <c r="I134" i="31" s="1"/>
  <c r="D135" i="31"/>
  <c r="G140" i="8"/>
  <c r="I140" i="8" s="1"/>
  <c r="D141" i="8"/>
  <c r="G140" i="6"/>
  <c r="I140" i="6" s="1"/>
  <c r="D141" i="6"/>
  <c r="G133" i="30"/>
  <c r="I133" i="30" s="1"/>
  <c r="D134" i="30"/>
  <c r="J138" i="4"/>
  <c r="J134" i="27"/>
  <c r="J141" i="7"/>
  <c r="G135" i="27"/>
  <c r="I135" i="27" s="1"/>
  <c r="D136" i="27"/>
  <c r="G139" i="3"/>
  <c r="D140" i="3"/>
  <c r="J130" i="43"/>
  <c r="J155" i="43" s="1"/>
  <c r="G131" i="37"/>
  <c r="I131" i="37" s="1"/>
  <c r="D132" i="37"/>
  <c r="J130" i="39"/>
  <c r="J155" i="39" s="1"/>
  <c r="G139" i="5"/>
  <c r="D140" i="5"/>
  <c r="J133" i="29"/>
  <c r="G130" i="40"/>
  <c r="I130" i="40" s="1"/>
  <c r="D131" i="40"/>
  <c r="G134" i="28"/>
  <c r="I134" i="28" s="1"/>
  <c r="D135" i="28"/>
  <c r="E135" i="28"/>
  <c r="J139" i="8"/>
  <c r="G141" i="11"/>
  <c r="I141" i="11" s="1"/>
  <c r="D142" i="11"/>
  <c r="E142" i="11"/>
  <c r="G141" i="9"/>
  <c r="I141" i="9" s="1"/>
  <c r="D142" i="9"/>
  <c r="G134" i="29"/>
  <c r="I134" i="29" s="1"/>
  <c r="D135" i="29"/>
  <c r="J132" i="30"/>
  <c r="G142" i="10"/>
  <c r="I142" i="10" s="1"/>
  <c r="D143" i="10"/>
  <c r="G137" i="23"/>
  <c r="I137" i="23" s="1"/>
  <c r="D138" i="23"/>
  <c r="G131" i="43"/>
  <c r="I131" i="43" s="1"/>
  <c r="D132" i="43"/>
  <c r="G139" i="4"/>
  <c r="D140" i="4"/>
  <c r="J129" i="40"/>
  <c r="J133" i="31"/>
  <c r="H134" i="45" l="1"/>
  <c r="G134" i="45"/>
  <c r="I134" i="45" s="1"/>
  <c r="D135" i="45"/>
  <c r="B135" i="45" s="1"/>
  <c r="D138" i="46"/>
  <c r="G137" i="46"/>
  <c r="I137" i="46" s="1"/>
  <c r="E138" i="46"/>
  <c r="E141" i="8"/>
  <c r="F141" i="8" s="1"/>
  <c r="H141" i="8" s="1"/>
  <c r="E140" i="3"/>
  <c r="E139" i="22"/>
  <c r="F139" i="22" s="1"/>
  <c r="H139" i="22" s="1"/>
  <c r="E140" i="4"/>
  <c r="F140" i="4" s="1"/>
  <c r="H140" i="4" s="1"/>
  <c r="E134" i="30"/>
  <c r="F134" i="30" s="1"/>
  <c r="H134" i="30" s="1"/>
  <c r="E132" i="39"/>
  <c r="F132" i="39" s="1"/>
  <c r="H132" i="39" s="1"/>
  <c r="E132" i="43"/>
  <c r="F132" i="43" s="1"/>
  <c r="H132" i="43" s="1"/>
  <c r="E141" i="6"/>
  <c r="F141" i="6" s="1"/>
  <c r="H141" i="6" s="1"/>
  <c r="E138" i="23"/>
  <c r="F138" i="23" s="1"/>
  <c r="H138" i="23" s="1"/>
  <c r="E131" i="40"/>
  <c r="F131" i="40" s="1"/>
  <c r="H131" i="40" s="1"/>
  <c r="E143" i="7"/>
  <c r="F143" i="7" s="1"/>
  <c r="H143" i="7" s="1"/>
  <c r="E135" i="29"/>
  <c r="F135" i="29" s="1"/>
  <c r="H135" i="29" s="1"/>
  <c r="E143" i="10"/>
  <c r="F143" i="10" s="1"/>
  <c r="H143" i="10" s="1"/>
  <c r="E142" i="9"/>
  <c r="F142" i="9" s="1"/>
  <c r="H142" i="9" s="1"/>
  <c r="E140" i="5"/>
  <c r="F140" i="5" s="1"/>
  <c r="H140" i="5" s="1"/>
  <c r="E136" i="27"/>
  <c r="F136" i="27" s="1"/>
  <c r="H136" i="27" s="1"/>
  <c r="G139" i="44"/>
  <c r="I139" i="44" s="1"/>
  <c r="B140" i="44"/>
  <c r="E140" i="44"/>
  <c r="F140" i="44" s="1"/>
  <c r="H140" i="44" s="1"/>
  <c r="H139" i="44"/>
  <c r="E135" i="31"/>
  <c r="E132" i="37"/>
  <c r="F132" i="37" s="1"/>
  <c r="H132" i="37" s="1"/>
  <c r="E137" i="24"/>
  <c r="F137" i="24" s="1"/>
  <c r="H137" i="24" s="1"/>
  <c r="G135" i="42"/>
  <c r="I135" i="42" s="1"/>
  <c r="D136" i="42"/>
  <c r="E136" i="38"/>
  <c r="F136" i="38" s="1"/>
  <c r="H136" i="38" s="1"/>
  <c r="B136" i="38"/>
  <c r="E136" i="41"/>
  <c r="F136" i="41" s="1"/>
  <c r="H136" i="41" s="1"/>
  <c r="B136" i="41"/>
  <c r="B142" i="11"/>
  <c r="F142" i="11"/>
  <c r="H142" i="11" s="1"/>
  <c r="I139" i="5"/>
  <c r="I139" i="3"/>
  <c r="B140" i="4"/>
  <c r="B142" i="9"/>
  <c r="B135" i="31"/>
  <c r="F135" i="31"/>
  <c r="H135" i="31" s="1"/>
  <c r="B139" i="25"/>
  <c r="F139" i="25"/>
  <c r="H139" i="25" s="1"/>
  <c r="I139" i="4"/>
  <c r="B143" i="10"/>
  <c r="B135" i="29"/>
  <c r="B136" i="27"/>
  <c r="B141" i="8"/>
  <c r="B143" i="7"/>
  <c r="B132" i="43"/>
  <c r="B135" i="28"/>
  <c r="F135" i="28"/>
  <c r="H135" i="28" s="1"/>
  <c r="B134" i="30"/>
  <c r="B132" i="39"/>
  <c r="B139" i="22"/>
  <c r="B138" i="23"/>
  <c r="B131" i="40"/>
  <c r="B140" i="5"/>
  <c r="B132" i="37"/>
  <c r="B140" i="3"/>
  <c r="F140" i="3"/>
  <c r="H140" i="3" s="1"/>
  <c r="B141" i="6"/>
  <c r="B137" i="24"/>
  <c r="F135" i="45" l="1"/>
  <c r="H135" i="45"/>
  <c r="B138" i="46"/>
  <c r="F138" i="46"/>
  <c r="H138" i="46" s="1"/>
  <c r="D136" i="45"/>
  <c r="E136" i="45"/>
  <c r="G135" i="45"/>
  <c r="I135" i="45" s="1"/>
  <c r="D141" i="44"/>
  <c r="G140" i="44"/>
  <c r="I140" i="44" s="1"/>
  <c r="G136" i="38"/>
  <c r="I136" i="38" s="1"/>
  <c r="D137" i="38"/>
  <c r="E136" i="42"/>
  <c r="F136" i="42" s="1"/>
  <c r="H136" i="42" s="1"/>
  <c r="B136" i="42"/>
  <c r="G136" i="41"/>
  <c r="I136" i="41" s="1"/>
  <c r="D137" i="41"/>
  <c r="J140" i="6"/>
  <c r="J130" i="40"/>
  <c r="J155" i="40" s="1"/>
  <c r="J133" i="30"/>
  <c r="G141" i="6"/>
  <c r="I141" i="6" s="1"/>
  <c r="D142" i="6"/>
  <c r="G141" i="8"/>
  <c r="I141" i="8" s="1"/>
  <c r="D142" i="8"/>
  <c r="J134" i="29"/>
  <c r="J142" i="7"/>
  <c r="J140" i="8"/>
  <c r="J135" i="27"/>
  <c r="G132" i="37"/>
  <c r="I132" i="37" s="1"/>
  <c r="D133" i="37"/>
  <c r="G131" i="40"/>
  <c r="I131" i="40" s="1"/>
  <c r="D132" i="40"/>
  <c r="J142" i="10"/>
  <c r="G139" i="22"/>
  <c r="I139" i="22" s="1"/>
  <c r="D140" i="22"/>
  <c r="G132" i="39"/>
  <c r="I132" i="39" s="1"/>
  <c r="D133" i="39"/>
  <c r="E133" i="39"/>
  <c r="G135" i="28"/>
  <c r="I135" i="28" s="1"/>
  <c r="D136" i="28"/>
  <c r="E136" i="28"/>
  <c r="J134" i="31"/>
  <c r="G136" i="27"/>
  <c r="I136" i="27" s="1"/>
  <c r="D137" i="27"/>
  <c r="E137" i="27"/>
  <c r="G135" i="29"/>
  <c r="I135" i="29" s="1"/>
  <c r="D136" i="29"/>
  <c r="J139" i="4"/>
  <c r="G139" i="25"/>
  <c r="I139" i="25" s="1"/>
  <c r="D140" i="25"/>
  <c r="J134" i="28"/>
  <c r="G140" i="4"/>
  <c r="D141" i="4"/>
  <c r="J139" i="3"/>
  <c r="J139" i="5"/>
  <c r="G142" i="11"/>
  <c r="I142" i="11" s="1"/>
  <c r="D143" i="11"/>
  <c r="G140" i="3"/>
  <c r="D141" i="3"/>
  <c r="G138" i="23"/>
  <c r="I138" i="23" s="1"/>
  <c r="D139" i="23"/>
  <c r="G143" i="7"/>
  <c r="I143" i="7" s="1"/>
  <c r="D144" i="7"/>
  <c r="D136" i="31"/>
  <c r="G135" i="31"/>
  <c r="I135" i="31" s="1"/>
  <c r="G132" i="43"/>
  <c r="I132" i="43" s="1"/>
  <c r="D133" i="43"/>
  <c r="G143" i="10"/>
  <c r="I143" i="10" s="1"/>
  <c r="D144" i="10"/>
  <c r="G142" i="9"/>
  <c r="I142" i="9" s="1"/>
  <c r="D143" i="9"/>
  <c r="G140" i="5"/>
  <c r="D141" i="5"/>
  <c r="G134" i="30"/>
  <c r="I134" i="30" s="1"/>
  <c r="D135" i="30"/>
  <c r="G137" i="24"/>
  <c r="I137" i="24" s="1"/>
  <c r="D138" i="24"/>
  <c r="D139" i="46" l="1"/>
  <c r="G138" i="46"/>
  <c r="I138" i="46" s="1"/>
  <c r="E139" i="46"/>
  <c r="F136" i="45"/>
  <c r="G136" i="45" s="1"/>
  <c r="I136" i="45" s="1"/>
  <c r="B136" i="45"/>
  <c r="E141" i="5"/>
  <c r="E141" i="4"/>
  <c r="F141" i="4" s="1"/>
  <c r="H141" i="4" s="1"/>
  <c r="E132" i="40"/>
  <c r="F132" i="40" s="1"/>
  <c r="H132" i="40" s="1"/>
  <c r="E142" i="8"/>
  <c r="F142" i="8" s="1"/>
  <c r="H142" i="8" s="1"/>
  <c r="E144" i="10"/>
  <c r="F144" i="10" s="1"/>
  <c r="H144" i="10" s="1"/>
  <c r="E143" i="11"/>
  <c r="F143" i="11" s="1"/>
  <c r="H143" i="11" s="1"/>
  <c r="E143" i="9"/>
  <c r="F143" i="9" s="1"/>
  <c r="H143" i="9" s="1"/>
  <c r="E144" i="7"/>
  <c r="E141" i="3"/>
  <c r="E136" i="29"/>
  <c r="F136" i="29" s="1"/>
  <c r="H136" i="29" s="1"/>
  <c r="E140" i="22"/>
  <c r="F140" i="22" s="1"/>
  <c r="H140" i="22" s="1"/>
  <c r="E139" i="23"/>
  <c r="F139" i="23" s="1"/>
  <c r="H139" i="23" s="1"/>
  <c r="E135" i="30"/>
  <c r="F135" i="30" s="1"/>
  <c r="H135" i="30" s="1"/>
  <c r="E133" i="43"/>
  <c r="F133" i="43" s="1"/>
  <c r="H133" i="43" s="1"/>
  <c r="E140" i="25"/>
  <c r="F140" i="25" s="1"/>
  <c r="H140" i="25" s="1"/>
  <c r="E142" i="6"/>
  <c r="F142" i="6" s="1"/>
  <c r="H142" i="6" s="1"/>
  <c r="B137" i="41"/>
  <c r="E136" i="31"/>
  <c r="F136" i="31" s="1"/>
  <c r="H136" i="31" s="1"/>
  <c r="E133" i="37"/>
  <c r="F133" i="37" s="1"/>
  <c r="H133" i="37" s="1"/>
  <c r="E138" i="24"/>
  <c r="F138" i="24" s="1"/>
  <c r="H138" i="24" s="1"/>
  <c r="E141" i="44"/>
  <c r="F141" i="44" s="1"/>
  <c r="H141" i="44" s="1"/>
  <c r="B141" i="44"/>
  <c r="E137" i="41"/>
  <c r="F137" i="41" s="1"/>
  <c r="D138" i="41" s="1"/>
  <c r="D137" i="42"/>
  <c r="G136" i="42"/>
  <c r="I136" i="42" s="1"/>
  <c r="E137" i="38"/>
  <c r="F137" i="38" s="1"/>
  <c r="H137" i="38" s="1"/>
  <c r="B137" i="38"/>
  <c r="B141" i="3"/>
  <c r="F141" i="3"/>
  <c r="H141" i="3" s="1"/>
  <c r="B141" i="4"/>
  <c r="B140" i="25"/>
  <c r="B136" i="29"/>
  <c r="B133" i="37"/>
  <c r="B135" i="30"/>
  <c r="B136" i="31"/>
  <c r="B138" i="24"/>
  <c r="B144" i="10"/>
  <c r="B139" i="23"/>
  <c r="I140" i="3"/>
  <c r="I140" i="4"/>
  <c r="B140" i="22"/>
  <c r="B132" i="40"/>
  <c r="B141" i="5"/>
  <c r="F141" i="5"/>
  <c r="H141" i="5" s="1"/>
  <c r="I140" i="5"/>
  <c r="B133" i="43"/>
  <c r="B143" i="9"/>
  <c r="B144" i="7"/>
  <c r="F144" i="7"/>
  <c r="H144" i="7" s="1"/>
  <c r="F133" i="39"/>
  <c r="H133" i="39" s="1"/>
  <c r="B133" i="39"/>
  <c r="B142" i="6"/>
  <c r="B143" i="11"/>
  <c r="B137" i="27"/>
  <c r="F137" i="27"/>
  <c r="H137" i="27" s="1"/>
  <c r="B136" i="28"/>
  <c r="F136" i="28"/>
  <c r="H136" i="28" s="1"/>
  <c r="B142" i="8"/>
  <c r="H136" i="45" l="1"/>
  <c r="D137" i="45"/>
  <c r="B137" i="45" s="1"/>
  <c r="E137" i="45"/>
  <c r="F137" i="45" s="1"/>
  <c r="H137" i="45" s="1"/>
  <c r="F139" i="46"/>
  <c r="B139" i="46"/>
  <c r="H137" i="41"/>
  <c r="G137" i="41"/>
  <c r="I137" i="41" s="1"/>
  <c r="D142" i="44"/>
  <c r="G141" i="44"/>
  <c r="I141" i="44" s="1"/>
  <c r="D138" i="38"/>
  <c r="G137" i="38"/>
  <c r="I137" i="38" s="1"/>
  <c r="E138" i="41"/>
  <c r="F138" i="41" s="1"/>
  <c r="H138" i="41" s="1"/>
  <c r="B138" i="41"/>
  <c r="E137" i="42"/>
  <c r="F137" i="42" s="1"/>
  <c r="H137" i="42" s="1"/>
  <c r="B137" i="42"/>
  <c r="J140" i="3"/>
  <c r="J135" i="28"/>
  <c r="J140" i="4"/>
  <c r="J141" i="6"/>
  <c r="G137" i="27"/>
  <c r="I137" i="27" s="1"/>
  <c r="D138" i="27"/>
  <c r="E138" i="27"/>
  <c r="J143" i="7"/>
  <c r="G144" i="7"/>
  <c r="I144" i="7" s="1"/>
  <c r="D145" i="7"/>
  <c r="G143" i="9"/>
  <c r="I143" i="9" s="1"/>
  <c r="D144" i="9"/>
  <c r="J140" i="5"/>
  <c r="G140" i="22"/>
  <c r="I140" i="22" s="1"/>
  <c r="D141" i="22"/>
  <c r="J134" i="30"/>
  <c r="G136" i="31"/>
  <c r="I136" i="31" s="1"/>
  <c r="D137" i="31"/>
  <c r="J141" i="8"/>
  <c r="G136" i="29"/>
  <c r="I136" i="29" s="1"/>
  <c r="D137" i="29"/>
  <c r="G141" i="4"/>
  <c r="D142" i="4"/>
  <c r="D134" i="39"/>
  <c r="G133" i="39"/>
  <c r="I133" i="39" s="1"/>
  <c r="E134" i="39"/>
  <c r="G142" i="8"/>
  <c r="I142" i="8" s="1"/>
  <c r="D143" i="8"/>
  <c r="D137" i="28"/>
  <c r="G136" i="28"/>
  <c r="I136" i="28" s="1"/>
  <c r="G143" i="11"/>
  <c r="I143" i="11" s="1"/>
  <c r="D144" i="11"/>
  <c r="J135" i="31"/>
  <c r="G142" i="6"/>
  <c r="I142" i="6" s="1"/>
  <c r="D143" i="6"/>
  <c r="J143" i="10"/>
  <c r="G133" i="43"/>
  <c r="I133" i="43" s="1"/>
  <c r="D134" i="43"/>
  <c r="G141" i="5"/>
  <c r="D142" i="5"/>
  <c r="G132" i="40"/>
  <c r="I132" i="40" s="1"/>
  <c r="D133" i="40"/>
  <c r="J135" i="29"/>
  <c r="G139" i="23"/>
  <c r="I139" i="23" s="1"/>
  <c r="D140" i="23"/>
  <c r="G144" i="10"/>
  <c r="I144" i="10" s="1"/>
  <c r="D145" i="10"/>
  <c r="G138" i="24"/>
  <c r="I138" i="24" s="1"/>
  <c r="D139" i="24"/>
  <c r="G135" i="30"/>
  <c r="I135" i="30" s="1"/>
  <c r="D136" i="30"/>
  <c r="G133" i="37"/>
  <c r="I133" i="37" s="1"/>
  <c r="D134" i="37"/>
  <c r="E134" i="37"/>
  <c r="G140" i="25"/>
  <c r="I140" i="25" s="1"/>
  <c r="D141" i="25"/>
  <c r="G141" i="3"/>
  <c r="D142" i="3"/>
  <c r="J136" i="27"/>
  <c r="D140" i="46" l="1"/>
  <c r="G139" i="46"/>
  <c r="I139" i="46" s="1"/>
  <c r="H139" i="46"/>
  <c r="D138" i="45"/>
  <c r="B138" i="45" s="1"/>
  <c r="E138" i="45"/>
  <c r="G137" i="45"/>
  <c r="I137" i="45" s="1"/>
  <c r="E136" i="30"/>
  <c r="F136" i="30" s="1"/>
  <c r="H136" i="30" s="1"/>
  <c r="E143" i="6"/>
  <c r="F143" i="6" s="1"/>
  <c r="H143" i="6" s="1"/>
  <c r="E142" i="4"/>
  <c r="E142" i="3"/>
  <c r="F142" i="3" s="1"/>
  <c r="H142" i="3" s="1"/>
  <c r="E137" i="29"/>
  <c r="F137" i="29" s="1"/>
  <c r="H137" i="29" s="1"/>
  <c r="E145" i="10"/>
  <c r="F145" i="10" s="1"/>
  <c r="H145" i="10" s="1"/>
  <c r="E141" i="22"/>
  <c r="E133" i="40"/>
  <c r="E134" i="43"/>
  <c r="F134" i="43" s="1"/>
  <c r="H134" i="43" s="1"/>
  <c r="E145" i="7"/>
  <c r="F145" i="7" s="1"/>
  <c r="H145" i="7" s="1"/>
  <c r="E140" i="23"/>
  <c r="F140" i="23" s="1"/>
  <c r="H140" i="23" s="1"/>
  <c r="E137" i="28"/>
  <c r="F137" i="28" s="1"/>
  <c r="H137" i="28" s="1"/>
  <c r="E141" i="25"/>
  <c r="F141" i="25" s="1"/>
  <c r="H141" i="25" s="1"/>
  <c r="E142" i="5"/>
  <c r="F142" i="5" s="1"/>
  <c r="H142" i="5" s="1"/>
  <c r="E144" i="11"/>
  <c r="E143" i="8"/>
  <c r="F143" i="8" s="1"/>
  <c r="H143" i="8" s="1"/>
  <c r="E144" i="9"/>
  <c r="F144" i="9" s="1"/>
  <c r="H144" i="9" s="1"/>
  <c r="E137" i="31"/>
  <c r="F137" i="31" s="1"/>
  <c r="H137" i="31" s="1"/>
  <c r="E139" i="24"/>
  <c r="F139" i="24" s="1"/>
  <c r="H139" i="24" s="1"/>
  <c r="E142" i="44"/>
  <c r="F142" i="44" s="1"/>
  <c r="H142" i="44" s="1"/>
  <c r="B142" i="44"/>
  <c r="G138" i="41"/>
  <c r="I138" i="41" s="1"/>
  <c r="D139" i="41"/>
  <c r="G137" i="42"/>
  <c r="I137" i="42" s="1"/>
  <c r="D138" i="42"/>
  <c r="E138" i="38"/>
  <c r="F138" i="38" s="1"/>
  <c r="H138" i="38" s="1"/>
  <c r="B138" i="38"/>
  <c r="B142" i="3"/>
  <c r="I141" i="3"/>
  <c r="B136" i="30"/>
  <c r="B142" i="5"/>
  <c r="I141" i="4"/>
  <c r="B140" i="23"/>
  <c r="B133" i="40"/>
  <c r="F133" i="40"/>
  <c r="H133" i="40" s="1"/>
  <c r="I141" i="5"/>
  <c r="B143" i="8"/>
  <c r="B134" i="39"/>
  <c r="F134" i="39"/>
  <c r="H134" i="39" s="1"/>
  <c r="B145" i="7"/>
  <c r="B138" i="27"/>
  <c r="F138" i="27"/>
  <c r="H138" i="27" s="1"/>
  <c r="B141" i="25"/>
  <c r="B145" i="10"/>
  <c r="B137" i="29"/>
  <c r="B137" i="31"/>
  <c r="B141" i="22"/>
  <c r="F141" i="22"/>
  <c r="H141" i="22" s="1"/>
  <c r="B144" i="9"/>
  <c r="B134" i="37"/>
  <c r="F134" i="37"/>
  <c r="H134" i="37" s="1"/>
  <c r="B139" i="24"/>
  <c r="B134" i="43"/>
  <c r="B143" i="6"/>
  <c r="B144" i="11"/>
  <c r="F144" i="11"/>
  <c r="H144" i="11" s="1"/>
  <c r="B137" i="28"/>
  <c r="B142" i="4"/>
  <c r="F142" i="4"/>
  <c r="H142" i="4" s="1"/>
  <c r="E140" i="46" l="1"/>
  <c r="B140" i="46"/>
  <c r="F140" i="46"/>
  <c r="H140" i="46"/>
  <c r="F138" i="45"/>
  <c r="H138" i="45" s="1"/>
  <c r="G138" i="45"/>
  <c r="I138" i="45" s="1"/>
  <c r="E139" i="45"/>
  <c r="D143" i="44"/>
  <c r="G142" i="44"/>
  <c r="I142" i="44" s="1"/>
  <c r="D139" i="38"/>
  <c r="G138" i="38"/>
  <c r="I138" i="38" s="1"/>
  <c r="E139" i="41"/>
  <c r="F139" i="41" s="1"/>
  <c r="H139" i="41" s="1"/>
  <c r="B139" i="41"/>
  <c r="E138" i="42"/>
  <c r="F138" i="42" s="1"/>
  <c r="H138" i="42" s="1"/>
  <c r="B138" i="42"/>
  <c r="J136" i="31"/>
  <c r="J144" i="7"/>
  <c r="J141" i="5"/>
  <c r="J136" i="29"/>
  <c r="J142" i="8"/>
  <c r="J137" i="27"/>
  <c r="G142" i="4"/>
  <c r="D143" i="4"/>
  <c r="G144" i="11"/>
  <c r="I144" i="11" s="1"/>
  <c r="D145" i="11"/>
  <c r="G134" i="43"/>
  <c r="I134" i="43" s="1"/>
  <c r="D135" i="43"/>
  <c r="G139" i="24"/>
  <c r="I139" i="24" s="1"/>
  <c r="D140" i="24"/>
  <c r="G134" i="37"/>
  <c r="I134" i="37" s="1"/>
  <c r="D135" i="37"/>
  <c r="G141" i="22"/>
  <c r="I141" i="22" s="1"/>
  <c r="D142" i="22"/>
  <c r="G137" i="29"/>
  <c r="I137" i="29" s="1"/>
  <c r="D138" i="29"/>
  <c r="J136" i="28"/>
  <c r="G141" i="25"/>
  <c r="I141" i="25" s="1"/>
  <c r="D142" i="25"/>
  <c r="G145" i="7"/>
  <c r="I145" i="7" s="1"/>
  <c r="D146" i="7"/>
  <c r="G143" i="8"/>
  <c r="I143" i="8" s="1"/>
  <c r="D144" i="8"/>
  <c r="G133" i="40"/>
  <c r="I133" i="40" s="1"/>
  <c r="D134" i="40"/>
  <c r="E134" i="40"/>
  <c r="J135" i="30"/>
  <c r="J142" i="6"/>
  <c r="G142" i="5"/>
  <c r="D143" i="5"/>
  <c r="G136" i="30"/>
  <c r="I136" i="30" s="1"/>
  <c r="D137" i="30"/>
  <c r="D138" i="28"/>
  <c r="G137" i="28"/>
  <c r="I137" i="28" s="1"/>
  <c r="G143" i="6"/>
  <c r="I143" i="6" s="1"/>
  <c r="D144" i="6"/>
  <c r="G144" i="9"/>
  <c r="I144" i="9" s="1"/>
  <c r="D145" i="9"/>
  <c r="G137" i="31"/>
  <c r="I137" i="31" s="1"/>
  <c r="D138" i="31"/>
  <c r="G145" i="10"/>
  <c r="I145" i="10" s="1"/>
  <c r="D146" i="10"/>
  <c r="G138" i="27"/>
  <c r="I138" i="27" s="1"/>
  <c r="D139" i="27"/>
  <c r="G134" i="39"/>
  <c r="I134" i="39" s="1"/>
  <c r="D135" i="39"/>
  <c r="E135" i="39"/>
  <c r="G140" i="23"/>
  <c r="I140" i="23" s="1"/>
  <c r="D141" i="23"/>
  <c r="G142" i="3"/>
  <c r="D143" i="3"/>
  <c r="J144" i="10"/>
  <c r="J141" i="4"/>
  <c r="J141" i="3"/>
  <c r="D141" i="46" l="1"/>
  <c r="G140" i="46"/>
  <c r="I140" i="46" s="1"/>
  <c r="E141" i="46"/>
  <c r="F141" i="46" s="1"/>
  <c r="D139" i="45"/>
  <c r="B139" i="45" s="1"/>
  <c r="E146" i="7"/>
  <c r="F146" i="7" s="1"/>
  <c r="H146" i="7" s="1"/>
  <c r="E139" i="27"/>
  <c r="F139" i="27" s="1"/>
  <c r="H139" i="27" s="1"/>
  <c r="E137" i="30"/>
  <c r="F137" i="30" s="1"/>
  <c r="H137" i="30" s="1"/>
  <c r="E138" i="29"/>
  <c r="F138" i="29" s="1"/>
  <c r="H138" i="29" s="1"/>
  <c r="E135" i="43"/>
  <c r="F135" i="43" s="1"/>
  <c r="H135" i="43" s="1"/>
  <c r="E143" i="4"/>
  <c r="F143" i="4" s="1"/>
  <c r="H143" i="4" s="1"/>
  <c r="E141" i="23"/>
  <c r="F141" i="23" s="1"/>
  <c r="H141" i="23" s="1"/>
  <c r="E144" i="6"/>
  <c r="F144" i="6" s="1"/>
  <c r="H144" i="6" s="1"/>
  <c r="E143" i="3"/>
  <c r="F143" i="3" s="1"/>
  <c r="H143" i="3" s="1"/>
  <c r="E144" i="8"/>
  <c r="F144" i="8" s="1"/>
  <c r="H144" i="8" s="1"/>
  <c r="E142" i="25"/>
  <c r="F142" i="25" s="1"/>
  <c r="H142" i="25" s="1"/>
  <c r="E138" i="28"/>
  <c r="F138" i="28" s="1"/>
  <c r="H138" i="28" s="1"/>
  <c r="E146" i="10"/>
  <c r="F146" i="10" s="1"/>
  <c r="H146" i="10" s="1"/>
  <c r="E145" i="9"/>
  <c r="E143" i="5"/>
  <c r="F143" i="5" s="1"/>
  <c r="H143" i="5" s="1"/>
  <c r="E142" i="22"/>
  <c r="F142" i="22" s="1"/>
  <c r="H142" i="22" s="1"/>
  <c r="E145" i="11"/>
  <c r="F145" i="11" s="1"/>
  <c r="H145" i="11" s="1"/>
  <c r="B143" i="44"/>
  <c r="E138" i="31"/>
  <c r="F138" i="31" s="1"/>
  <c r="H138" i="31" s="1"/>
  <c r="E135" i="37"/>
  <c r="F135" i="37" s="1"/>
  <c r="H135" i="37" s="1"/>
  <c r="E140" i="24"/>
  <c r="F140" i="24" s="1"/>
  <c r="H140" i="24" s="1"/>
  <c r="E143" i="44"/>
  <c r="F143" i="44" s="1"/>
  <c r="H143" i="44" s="1"/>
  <c r="G139" i="41"/>
  <c r="I139" i="41" s="1"/>
  <c r="D140" i="41"/>
  <c r="G138" i="42"/>
  <c r="I138" i="42" s="1"/>
  <c r="D139" i="42"/>
  <c r="E139" i="42"/>
  <c r="E139" i="38"/>
  <c r="F139" i="38" s="1"/>
  <c r="H139" i="38" s="1"/>
  <c r="B139" i="38"/>
  <c r="B143" i="3"/>
  <c r="B146" i="10"/>
  <c r="B142" i="25"/>
  <c r="B138" i="29"/>
  <c r="B135" i="43"/>
  <c r="I142" i="3"/>
  <c r="B139" i="27"/>
  <c r="B144" i="6"/>
  <c r="B138" i="28"/>
  <c r="B146" i="7"/>
  <c r="B140" i="24"/>
  <c r="B135" i="39"/>
  <c r="F135" i="39"/>
  <c r="H135" i="39" s="1"/>
  <c r="B145" i="9"/>
  <c r="F145" i="9"/>
  <c r="H145" i="9" s="1"/>
  <c r="B143" i="5"/>
  <c r="B144" i="8"/>
  <c r="B135" i="37"/>
  <c r="B143" i="4"/>
  <c r="B141" i="23"/>
  <c r="B138" i="31"/>
  <c r="B137" i="30"/>
  <c r="I142" i="5"/>
  <c r="B134" i="40"/>
  <c r="F134" i="40"/>
  <c r="H134" i="40" s="1"/>
  <c r="B142" i="22"/>
  <c r="B145" i="11"/>
  <c r="I142" i="4"/>
  <c r="G141" i="46" l="1"/>
  <c r="I141" i="46" s="1"/>
  <c r="D142" i="46"/>
  <c r="B141" i="46"/>
  <c r="H141" i="46"/>
  <c r="F139" i="45"/>
  <c r="H139" i="45" s="1"/>
  <c r="D140" i="45"/>
  <c r="B140" i="45" s="1"/>
  <c r="G139" i="45"/>
  <c r="I139" i="45" s="1"/>
  <c r="B139" i="42"/>
  <c r="B140" i="41"/>
  <c r="G143" i="44"/>
  <c r="I143" i="44" s="1"/>
  <c r="D144" i="44"/>
  <c r="F139" i="42"/>
  <c r="G139" i="42" s="1"/>
  <c r="I139" i="42" s="1"/>
  <c r="E140" i="41"/>
  <c r="F140" i="41" s="1"/>
  <c r="H140" i="41" s="1"/>
  <c r="G139" i="38"/>
  <c r="I139" i="38" s="1"/>
  <c r="D140" i="38"/>
  <c r="J137" i="31"/>
  <c r="J142" i="5"/>
  <c r="J145" i="7"/>
  <c r="J136" i="30"/>
  <c r="J137" i="29"/>
  <c r="J142" i="4"/>
  <c r="J143" i="8"/>
  <c r="G141" i="23"/>
  <c r="I141" i="23" s="1"/>
  <c r="D142" i="23"/>
  <c r="G143" i="5"/>
  <c r="D144" i="5"/>
  <c r="D146" i="9"/>
  <c r="G145" i="9"/>
  <c r="I145" i="9" s="1"/>
  <c r="G135" i="39"/>
  <c r="I135" i="39" s="1"/>
  <c r="D136" i="39"/>
  <c r="G140" i="24"/>
  <c r="I140" i="24" s="1"/>
  <c r="D141" i="24"/>
  <c r="G138" i="28"/>
  <c r="I138" i="28" s="1"/>
  <c r="D139" i="28"/>
  <c r="E139" i="28"/>
  <c r="J145" i="10"/>
  <c r="J142" i="3"/>
  <c r="G135" i="43"/>
  <c r="I135" i="43" s="1"/>
  <c r="D136" i="43"/>
  <c r="E136" i="43"/>
  <c r="G138" i="29"/>
  <c r="I138" i="29" s="1"/>
  <c r="D139" i="29"/>
  <c r="J137" i="28"/>
  <c r="D147" i="10"/>
  <c r="G146" i="10"/>
  <c r="I146" i="10" s="1"/>
  <c r="G143" i="3"/>
  <c r="D144" i="3"/>
  <c r="G145" i="11"/>
  <c r="I145" i="11" s="1"/>
  <c r="D146" i="11"/>
  <c r="G142" i="22"/>
  <c r="I142" i="22" s="1"/>
  <c r="D143" i="22"/>
  <c r="G134" i="40"/>
  <c r="I134" i="40" s="1"/>
  <c r="D135" i="40"/>
  <c r="G137" i="30"/>
  <c r="I137" i="30" s="1"/>
  <c r="D138" i="30"/>
  <c r="G138" i="31"/>
  <c r="I138" i="31" s="1"/>
  <c r="D139" i="31"/>
  <c r="G143" i="4"/>
  <c r="D144" i="4"/>
  <c r="G135" i="37"/>
  <c r="I135" i="37" s="1"/>
  <c r="D136" i="37"/>
  <c r="D145" i="8"/>
  <c r="G144" i="8"/>
  <c r="I144" i="8" s="1"/>
  <c r="G146" i="7"/>
  <c r="I146" i="7" s="1"/>
  <c r="D147" i="7"/>
  <c r="G144" i="6"/>
  <c r="I144" i="6" s="1"/>
  <c r="D145" i="6"/>
  <c r="G139" i="27"/>
  <c r="I139" i="27" s="1"/>
  <c r="D140" i="27"/>
  <c r="E140" i="27"/>
  <c r="G142" i="25"/>
  <c r="I142" i="25" s="1"/>
  <c r="D143" i="25"/>
  <c r="J143" i="6"/>
  <c r="J138" i="27"/>
  <c r="E142" i="46" l="1"/>
  <c r="B142" i="46"/>
  <c r="F142" i="46"/>
  <c r="H139" i="42"/>
  <c r="E140" i="45"/>
  <c r="F140" i="45" s="1"/>
  <c r="E145" i="6"/>
  <c r="F145" i="6" s="1"/>
  <c r="H145" i="6" s="1"/>
  <c r="E144" i="4"/>
  <c r="F144" i="4" s="1"/>
  <c r="H144" i="4" s="1"/>
  <c r="E138" i="30"/>
  <c r="F138" i="30" s="1"/>
  <c r="H138" i="30" s="1"/>
  <c r="E144" i="3"/>
  <c r="F144" i="3" s="1"/>
  <c r="H144" i="3" s="1"/>
  <c r="E146" i="9"/>
  <c r="F146" i="9" s="1"/>
  <c r="H146" i="9" s="1"/>
  <c r="E144" i="5"/>
  <c r="E143" i="22"/>
  <c r="F143" i="22" s="1"/>
  <c r="H143" i="22" s="1"/>
  <c r="E145" i="8"/>
  <c r="F145" i="8" s="1"/>
  <c r="H145" i="8" s="1"/>
  <c r="E147" i="7"/>
  <c r="F147" i="7" s="1"/>
  <c r="H147" i="7" s="1"/>
  <c r="E135" i="40"/>
  <c r="F135" i="40" s="1"/>
  <c r="H135" i="40" s="1"/>
  <c r="E146" i="11"/>
  <c r="F146" i="11" s="1"/>
  <c r="H146" i="11" s="1"/>
  <c r="E139" i="29"/>
  <c r="E136" i="39"/>
  <c r="E143" i="25"/>
  <c r="F143" i="25" s="1"/>
  <c r="H143" i="25" s="1"/>
  <c r="E147" i="10"/>
  <c r="F147" i="10" s="1"/>
  <c r="H147" i="10" s="1"/>
  <c r="E142" i="23"/>
  <c r="F142" i="23" s="1"/>
  <c r="H142" i="23" s="1"/>
  <c r="E139" i="31"/>
  <c r="E136" i="37"/>
  <c r="F136" i="37" s="1"/>
  <c r="H136" i="37" s="1"/>
  <c r="B140" i="38"/>
  <c r="E141" i="24"/>
  <c r="F141" i="24" s="1"/>
  <c r="H141" i="24" s="1"/>
  <c r="D140" i="42"/>
  <c r="E144" i="44"/>
  <c r="F144" i="44" s="1"/>
  <c r="H144" i="44" s="1"/>
  <c r="B144" i="44"/>
  <c r="E140" i="38"/>
  <c r="F140" i="38" s="1"/>
  <c r="D141" i="38" s="1"/>
  <c r="G140" i="41"/>
  <c r="I140" i="41" s="1"/>
  <c r="D141" i="41"/>
  <c r="B145" i="8"/>
  <c r="B145" i="6"/>
  <c r="B144" i="4"/>
  <c r="B143" i="22"/>
  <c r="B136" i="43"/>
  <c r="F136" i="43"/>
  <c r="H136" i="43" s="1"/>
  <c r="B141" i="24"/>
  <c r="B142" i="23"/>
  <c r="B136" i="37"/>
  <c r="B135" i="40"/>
  <c r="B139" i="29"/>
  <c r="F139" i="29"/>
  <c r="H139" i="29" s="1"/>
  <c r="B139" i="28"/>
  <c r="F139" i="28"/>
  <c r="H139" i="28" s="1"/>
  <c r="B144" i="5"/>
  <c r="F144" i="5"/>
  <c r="H144" i="5" s="1"/>
  <c r="B140" i="27"/>
  <c r="F140" i="27"/>
  <c r="H140" i="27" s="1"/>
  <c r="I143" i="4"/>
  <c r="B143" i="25"/>
  <c r="B138" i="30"/>
  <c r="B144" i="3"/>
  <c r="B147" i="10"/>
  <c r="I143" i="5"/>
  <c r="B147" i="7"/>
  <c r="B139" i="31"/>
  <c r="F139" i="31"/>
  <c r="H139" i="31" s="1"/>
  <c r="B146" i="11"/>
  <c r="I143" i="3"/>
  <c r="B136" i="39"/>
  <c r="F136" i="39"/>
  <c r="H136" i="39" s="1"/>
  <c r="B146" i="9"/>
  <c r="D143" i="46" l="1"/>
  <c r="G142" i="46"/>
  <c r="I142" i="46" s="1"/>
  <c r="H142" i="46"/>
  <c r="E143" i="46"/>
  <c r="F143" i="46" s="1"/>
  <c r="H140" i="45"/>
  <c r="D141" i="45"/>
  <c r="B141" i="45" s="1"/>
  <c r="G140" i="45"/>
  <c r="I140" i="45" s="1"/>
  <c r="B140" i="42"/>
  <c r="H140" i="38"/>
  <c r="B141" i="38"/>
  <c r="E140" i="42"/>
  <c r="F140" i="42" s="1"/>
  <c r="H140" i="42" s="1"/>
  <c r="G144" i="44"/>
  <c r="I144" i="44" s="1"/>
  <c r="D145" i="44"/>
  <c r="E141" i="38"/>
  <c r="F141" i="38" s="1"/>
  <c r="G141" i="38" s="1"/>
  <c r="I141" i="38" s="1"/>
  <c r="G140" i="38"/>
  <c r="I140" i="38" s="1"/>
  <c r="E141" i="41"/>
  <c r="F141" i="41" s="1"/>
  <c r="H141" i="41" s="1"/>
  <c r="B141" i="41"/>
  <c r="J138" i="28"/>
  <c r="G146" i="9"/>
  <c r="I146" i="9" s="1"/>
  <c r="D147" i="9"/>
  <c r="J143" i="3"/>
  <c r="J137" i="30"/>
  <c r="G147" i="7"/>
  <c r="I147" i="7" s="1"/>
  <c r="D148" i="7"/>
  <c r="J138" i="29"/>
  <c r="G144" i="3"/>
  <c r="D145" i="3"/>
  <c r="G138" i="30"/>
  <c r="I138" i="30" s="1"/>
  <c r="D139" i="30"/>
  <c r="E139" i="30"/>
  <c r="J144" i="8"/>
  <c r="G143" i="25"/>
  <c r="I143" i="25" s="1"/>
  <c r="D144" i="25"/>
  <c r="J144" i="6"/>
  <c r="J146" i="10"/>
  <c r="G135" i="40"/>
  <c r="I135" i="40" s="1"/>
  <c r="D136" i="40"/>
  <c r="G142" i="23"/>
  <c r="I142" i="23" s="1"/>
  <c r="D143" i="23"/>
  <c r="J138" i="31"/>
  <c r="J146" i="7"/>
  <c r="G145" i="8"/>
  <c r="I145" i="8" s="1"/>
  <c r="D146" i="8"/>
  <c r="G141" i="24"/>
  <c r="I141" i="24" s="1"/>
  <c r="D142" i="24"/>
  <c r="G136" i="39"/>
  <c r="I136" i="39" s="1"/>
  <c r="D137" i="39"/>
  <c r="G146" i="11"/>
  <c r="I146" i="11" s="1"/>
  <c r="D147" i="11"/>
  <c r="G139" i="31"/>
  <c r="I139" i="31" s="1"/>
  <c r="D140" i="31"/>
  <c r="J143" i="5"/>
  <c r="G147" i="10"/>
  <c r="I147" i="10" s="1"/>
  <c r="D148" i="10"/>
  <c r="J139" i="27"/>
  <c r="J143" i="4"/>
  <c r="G140" i="27"/>
  <c r="I140" i="27" s="1"/>
  <c r="D141" i="27"/>
  <c r="G144" i="5"/>
  <c r="D145" i="5"/>
  <c r="G139" i="28"/>
  <c r="I139" i="28" s="1"/>
  <c r="D140" i="28"/>
  <c r="D140" i="29"/>
  <c r="G139" i="29"/>
  <c r="I139" i="29" s="1"/>
  <c r="G136" i="37"/>
  <c r="I136" i="37" s="1"/>
  <c r="D137" i="37"/>
  <c r="G136" i="43"/>
  <c r="I136" i="43" s="1"/>
  <c r="D137" i="43"/>
  <c r="G143" i="22"/>
  <c r="I143" i="22" s="1"/>
  <c r="D144" i="22"/>
  <c r="G144" i="4"/>
  <c r="D145" i="4"/>
  <c r="G145" i="6"/>
  <c r="I145" i="6" s="1"/>
  <c r="D146" i="6"/>
  <c r="D144" i="46" l="1"/>
  <c r="G143" i="46"/>
  <c r="I143" i="46" s="1"/>
  <c r="B143" i="46"/>
  <c r="H143" i="46"/>
  <c r="E141" i="45"/>
  <c r="F141" i="45" s="1"/>
  <c r="H141" i="45" s="1"/>
  <c r="D142" i="45"/>
  <c r="B142" i="45" s="1"/>
  <c r="E145" i="5"/>
  <c r="F145" i="5" s="1"/>
  <c r="H145" i="5" s="1"/>
  <c r="E148" i="7"/>
  <c r="F148" i="7" s="1"/>
  <c r="H148" i="7" s="1"/>
  <c r="E140" i="29"/>
  <c r="E137" i="39"/>
  <c r="F137" i="39" s="1"/>
  <c r="H137" i="39" s="1"/>
  <c r="E146" i="8"/>
  <c r="F146" i="8" s="1"/>
  <c r="H146" i="8" s="1"/>
  <c r="E143" i="23"/>
  <c r="F143" i="23" s="1"/>
  <c r="H143" i="23" s="1"/>
  <c r="E145" i="3"/>
  <c r="E137" i="43"/>
  <c r="F137" i="43" s="1"/>
  <c r="H137" i="43" s="1"/>
  <c r="E147" i="9"/>
  <c r="F147" i="9" s="1"/>
  <c r="H147" i="9" s="1"/>
  <c r="E146" i="6"/>
  <c r="F146" i="6" s="1"/>
  <c r="H146" i="6" s="1"/>
  <c r="E144" i="22"/>
  <c r="E140" i="28"/>
  <c r="F140" i="28" s="1"/>
  <c r="H140" i="28" s="1"/>
  <c r="E141" i="27"/>
  <c r="F141" i="27" s="1"/>
  <c r="H141" i="27" s="1"/>
  <c r="E148" i="10"/>
  <c r="F148" i="10" s="1"/>
  <c r="H148" i="10" s="1"/>
  <c r="E145" i="4"/>
  <c r="E147" i="11"/>
  <c r="F147" i="11" s="1"/>
  <c r="H147" i="11" s="1"/>
  <c r="E136" i="40"/>
  <c r="F136" i="40" s="1"/>
  <c r="H136" i="40" s="1"/>
  <c r="E144" i="25"/>
  <c r="F144" i="25" s="1"/>
  <c r="H144" i="25" s="1"/>
  <c r="E140" i="31"/>
  <c r="E137" i="37"/>
  <c r="F137" i="37" s="1"/>
  <c r="H137" i="37" s="1"/>
  <c r="H141" i="38"/>
  <c r="E142" i="24"/>
  <c r="F142" i="24" s="1"/>
  <c r="H142" i="24" s="1"/>
  <c r="D141" i="42"/>
  <c r="E141" i="42" s="1"/>
  <c r="F141" i="42" s="1"/>
  <c r="G140" i="42"/>
  <c r="I140" i="42" s="1"/>
  <c r="E145" i="44"/>
  <c r="F145" i="44" s="1"/>
  <c r="H145" i="44" s="1"/>
  <c r="B145" i="44"/>
  <c r="D142" i="38"/>
  <c r="G141" i="41"/>
  <c r="I141" i="41" s="1"/>
  <c r="D142" i="41"/>
  <c r="B146" i="6"/>
  <c r="I144" i="4"/>
  <c r="B137" i="37"/>
  <c r="B140" i="29"/>
  <c r="F140" i="29"/>
  <c r="H140" i="29" s="1"/>
  <c r="B141" i="27"/>
  <c r="B147" i="11"/>
  <c r="B148" i="10"/>
  <c r="B140" i="31"/>
  <c r="F140" i="31"/>
  <c r="H140" i="31" s="1"/>
  <c r="B146" i="8"/>
  <c r="B136" i="40"/>
  <c r="B145" i="3"/>
  <c r="F145" i="3"/>
  <c r="H145" i="3" s="1"/>
  <c r="B148" i="7"/>
  <c r="B137" i="43"/>
  <c r="B140" i="28"/>
  <c r="I144" i="5"/>
  <c r="B142" i="24"/>
  <c r="B143" i="23"/>
  <c r="B144" i="25"/>
  <c r="B139" i="30"/>
  <c r="F139" i="30"/>
  <c r="H139" i="30" s="1"/>
  <c r="I144" i="3"/>
  <c r="B147" i="9"/>
  <c r="B145" i="5"/>
  <c r="B144" i="22"/>
  <c r="F144" i="22"/>
  <c r="H144" i="22" s="1"/>
  <c r="B145" i="4"/>
  <c r="F145" i="4"/>
  <c r="H145" i="4" s="1"/>
  <c r="B137" i="39"/>
  <c r="G141" i="45" l="1"/>
  <c r="I141" i="45" s="1"/>
  <c r="E144" i="46"/>
  <c r="B144" i="46"/>
  <c r="F144" i="46"/>
  <c r="E142" i="45"/>
  <c r="F142" i="45" s="1"/>
  <c r="H142" i="45" s="1"/>
  <c r="B141" i="42"/>
  <c r="H141" i="42"/>
  <c r="B142" i="41"/>
  <c r="B142" i="38"/>
  <c r="E142" i="38"/>
  <c r="F142" i="38" s="1"/>
  <c r="D146" i="44"/>
  <c r="G145" i="44"/>
  <c r="I145" i="44" s="1"/>
  <c r="E142" i="41"/>
  <c r="F142" i="41" s="1"/>
  <c r="G142" i="41" s="1"/>
  <c r="I142" i="41" s="1"/>
  <c r="D142" i="42"/>
  <c r="G141" i="42"/>
  <c r="I141" i="42" s="1"/>
  <c r="J144" i="4"/>
  <c r="J138" i="30"/>
  <c r="J139" i="28"/>
  <c r="D146" i="5"/>
  <c r="G145" i="5"/>
  <c r="G147" i="9"/>
  <c r="I147" i="9" s="1"/>
  <c r="D148" i="9"/>
  <c r="J144" i="3"/>
  <c r="G144" i="25"/>
  <c r="I144" i="25" s="1"/>
  <c r="D145" i="25"/>
  <c r="G143" i="23"/>
  <c r="I143" i="23" s="1"/>
  <c r="D144" i="23"/>
  <c r="G142" i="24"/>
  <c r="I142" i="24" s="1"/>
  <c r="D143" i="24"/>
  <c r="J147" i="10"/>
  <c r="G140" i="28"/>
  <c r="I140" i="28" s="1"/>
  <c r="D141" i="28"/>
  <c r="G148" i="7"/>
  <c r="I148" i="7" s="1"/>
  <c r="D149" i="7"/>
  <c r="G136" i="40"/>
  <c r="I136" i="40" s="1"/>
  <c r="D137" i="40"/>
  <c r="G148" i="10"/>
  <c r="I148" i="10" s="1"/>
  <c r="D149" i="10"/>
  <c r="D148" i="11"/>
  <c r="G147" i="11"/>
  <c r="I147" i="11" s="1"/>
  <c r="G140" i="29"/>
  <c r="I140" i="29" s="1"/>
  <c r="D141" i="29"/>
  <c r="G137" i="39"/>
  <c r="I137" i="39" s="1"/>
  <c r="D138" i="39"/>
  <c r="J139" i="29"/>
  <c r="G145" i="4"/>
  <c r="D146" i="4"/>
  <c r="G144" i="22"/>
  <c r="I144" i="22" s="1"/>
  <c r="D145" i="22"/>
  <c r="J145" i="6"/>
  <c r="J147" i="7"/>
  <c r="G139" i="30"/>
  <c r="I139" i="30" s="1"/>
  <c r="D140" i="30"/>
  <c r="J145" i="8"/>
  <c r="J139" i="31"/>
  <c r="J144" i="5"/>
  <c r="J140" i="27"/>
  <c r="G137" i="43"/>
  <c r="I137" i="43" s="1"/>
  <c r="D138" i="43"/>
  <c r="G145" i="3"/>
  <c r="D146" i="3"/>
  <c r="G146" i="8"/>
  <c r="I146" i="8" s="1"/>
  <c r="D147" i="8"/>
  <c r="G140" i="31"/>
  <c r="I140" i="31" s="1"/>
  <c r="D141" i="31"/>
  <c r="G141" i="27"/>
  <c r="I141" i="27" s="1"/>
  <c r="D142" i="27"/>
  <c r="G137" i="37"/>
  <c r="I137" i="37" s="1"/>
  <c r="D138" i="37"/>
  <c r="G146" i="6"/>
  <c r="I146" i="6" s="1"/>
  <c r="D147" i="6"/>
  <c r="G144" i="46" l="1"/>
  <c r="I144" i="46" s="1"/>
  <c r="H144" i="46"/>
  <c r="D145" i="46"/>
  <c r="G142" i="45"/>
  <c r="I142" i="45" s="1"/>
  <c r="D143" i="45"/>
  <c r="E143" i="45" s="1"/>
  <c r="F143" i="45" s="1"/>
  <c r="D144" i="45" s="1"/>
  <c r="E140" i="30"/>
  <c r="F140" i="30" s="1"/>
  <c r="H140" i="30" s="1"/>
  <c r="E138" i="39"/>
  <c r="F138" i="39" s="1"/>
  <c r="H138" i="39" s="1"/>
  <c r="E137" i="40"/>
  <c r="E141" i="28"/>
  <c r="E146" i="3"/>
  <c r="E145" i="25"/>
  <c r="F145" i="25" s="1"/>
  <c r="H145" i="25" s="1"/>
  <c r="E147" i="8"/>
  <c r="F147" i="8" s="1"/>
  <c r="H147" i="8" s="1"/>
  <c r="E138" i="43"/>
  <c r="F138" i="43" s="1"/>
  <c r="H138" i="43" s="1"/>
  <c r="E146" i="4"/>
  <c r="E148" i="11"/>
  <c r="F148" i="11" s="1"/>
  <c r="H148" i="11" s="1"/>
  <c r="E144" i="23"/>
  <c r="F144" i="23" s="1"/>
  <c r="H144" i="23" s="1"/>
  <c r="E146" i="5"/>
  <c r="E145" i="22"/>
  <c r="E147" i="6"/>
  <c r="F147" i="6" s="1"/>
  <c r="H147" i="6" s="1"/>
  <c r="E142" i="27"/>
  <c r="F142" i="27" s="1"/>
  <c r="H142" i="27" s="1"/>
  <c r="E141" i="29"/>
  <c r="F141" i="29" s="1"/>
  <c r="H141" i="29" s="1"/>
  <c r="E149" i="10"/>
  <c r="E149" i="7"/>
  <c r="F149" i="7" s="1"/>
  <c r="H149" i="7" s="1"/>
  <c r="E148" i="9"/>
  <c r="F148" i="9" s="1"/>
  <c r="H148" i="9" s="1"/>
  <c r="H142" i="41"/>
  <c r="E141" i="31"/>
  <c r="E138" i="37"/>
  <c r="F138" i="37" s="1"/>
  <c r="H138" i="37" s="1"/>
  <c r="G142" i="38"/>
  <c r="I142" i="38" s="1"/>
  <c r="H142" i="38"/>
  <c r="E143" i="24"/>
  <c r="F143" i="24" s="1"/>
  <c r="H143" i="24" s="1"/>
  <c r="D143" i="38"/>
  <c r="E146" i="44"/>
  <c r="F146" i="44" s="1"/>
  <c r="H146" i="44" s="1"/>
  <c r="B146" i="44"/>
  <c r="D143" i="41"/>
  <c r="E142" i="42"/>
  <c r="F142" i="42" s="1"/>
  <c r="H142" i="42" s="1"/>
  <c r="B142" i="42"/>
  <c r="B146" i="4"/>
  <c r="F146" i="4"/>
  <c r="H146" i="4" s="1"/>
  <c r="B138" i="43"/>
  <c r="I145" i="4"/>
  <c r="B138" i="37"/>
  <c r="B146" i="3"/>
  <c r="F146" i="3"/>
  <c r="H146" i="3" s="1"/>
  <c r="B141" i="28"/>
  <c r="F141" i="28"/>
  <c r="H141" i="28" s="1"/>
  <c r="B143" i="24"/>
  <c r="B141" i="31"/>
  <c r="F141" i="31"/>
  <c r="H141" i="31" s="1"/>
  <c r="B142" i="27"/>
  <c r="B147" i="6"/>
  <c r="B147" i="8"/>
  <c r="I145" i="3"/>
  <c r="B141" i="29"/>
  <c r="B148" i="11"/>
  <c r="B149" i="7"/>
  <c r="I145" i="5"/>
  <c r="B140" i="30"/>
  <c r="B138" i="39"/>
  <c r="B137" i="40"/>
  <c r="F137" i="40"/>
  <c r="H137" i="40" s="1"/>
  <c r="B145" i="25"/>
  <c r="B148" i="9"/>
  <c r="B146" i="5"/>
  <c r="F146" i="5"/>
  <c r="H146" i="5" s="1"/>
  <c r="B145" i="22"/>
  <c r="F145" i="22"/>
  <c r="H145" i="22" s="1"/>
  <c r="B149" i="10"/>
  <c r="F149" i="10"/>
  <c r="H149" i="10" s="1"/>
  <c r="B144" i="23"/>
  <c r="B145" i="46" l="1"/>
  <c r="E145" i="46"/>
  <c r="F145" i="46" s="1"/>
  <c r="H145" i="46" s="1"/>
  <c r="B143" i="45"/>
  <c r="G143" i="45"/>
  <c r="I143" i="45" s="1"/>
  <c r="E144" i="45"/>
  <c r="F144" i="45" s="1"/>
  <c r="D145" i="45" s="1"/>
  <c r="E145" i="45" s="1"/>
  <c r="F145" i="45" s="1"/>
  <c r="H143" i="45"/>
  <c r="B144" i="45"/>
  <c r="B143" i="41"/>
  <c r="B143" i="38"/>
  <c r="E143" i="38"/>
  <c r="F143" i="38" s="1"/>
  <c r="H143" i="38" s="1"/>
  <c r="E143" i="41"/>
  <c r="F143" i="41" s="1"/>
  <c r="D144" i="41" s="1"/>
  <c r="D147" i="44"/>
  <c r="G146" i="44"/>
  <c r="I146" i="44" s="1"/>
  <c r="G142" i="42"/>
  <c r="I142" i="42" s="1"/>
  <c r="D143" i="42"/>
  <c r="J145" i="4"/>
  <c r="J146" i="6"/>
  <c r="J148" i="7"/>
  <c r="J146" i="8"/>
  <c r="G144" i="23"/>
  <c r="I144" i="23" s="1"/>
  <c r="D145" i="23"/>
  <c r="G149" i="10"/>
  <c r="I149" i="10" s="1"/>
  <c r="D150" i="10"/>
  <c r="G146" i="5"/>
  <c r="D147" i="5"/>
  <c r="G145" i="25"/>
  <c r="I145" i="25" s="1"/>
  <c r="D146" i="25"/>
  <c r="G137" i="40"/>
  <c r="I137" i="40" s="1"/>
  <c r="D138" i="40"/>
  <c r="G138" i="39"/>
  <c r="I138" i="39" s="1"/>
  <c r="D139" i="39"/>
  <c r="E139" i="39"/>
  <c r="J145" i="5"/>
  <c r="J140" i="28"/>
  <c r="G148" i="11"/>
  <c r="I148" i="11" s="1"/>
  <c r="D149" i="11"/>
  <c r="J145" i="3"/>
  <c r="J140" i="31"/>
  <c r="G141" i="28"/>
  <c r="I141" i="28" s="1"/>
  <c r="D142" i="28"/>
  <c r="J141" i="27"/>
  <c r="J139" i="30"/>
  <c r="G146" i="4"/>
  <c r="D147" i="4"/>
  <c r="G145" i="22"/>
  <c r="I145" i="22" s="1"/>
  <c r="D146" i="22"/>
  <c r="G148" i="9"/>
  <c r="I148" i="9" s="1"/>
  <c r="D149" i="9"/>
  <c r="J140" i="29"/>
  <c r="G140" i="30"/>
  <c r="I140" i="30" s="1"/>
  <c r="D141" i="30"/>
  <c r="G149" i="7"/>
  <c r="I149" i="7" s="1"/>
  <c r="D150" i="7"/>
  <c r="G141" i="29"/>
  <c r="I141" i="29" s="1"/>
  <c r="D142" i="29"/>
  <c r="G147" i="8"/>
  <c r="I147" i="8" s="1"/>
  <c r="D148" i="8"/>
  <c r="G147" i="6"/>
  <c r="I147" i="6" s="1"/>
  <c r="D148" i="6"/>
  <c r="G142" i="27"/>
  <c r="I142" i="27" s="1"/>
  <c r="D143" i="27"/>
  <c r="G141" i="31"/>
  <c r="I141" i="31" s="1"/>
  <c r="D142" i="31"/>
  <c r="G143" i="24"/>
  <c r="I143" i="24" s="1"/>
  <c r="D144" i="24"/>
  <c r="G146" i="3"/>
  <c r="D147" i="3"/>
  <c r="G138" i="37"/>
  <c r="I138" i="37" s="1"/>
  <c r="D139" i="37"/>
  <c r="G138" i="43"/>
  <c r="I138" i="43" s="1"/>
  <c r="D139" i="43"/>
  <c r="E139" i="43"/>
  <c r="J148" i="10"/>
  <c r="G145" i="46" l="1"/>
  <c r="I145" i="46" s="1"/>
  <c r="D146" i="46"/>
  <c r="H144" i="45"/>
  <c r="G144" i="45"/>
  <c r="I144" i="45" s="1"/>
  <c r="D144" i="38"/>
  <c r="E144" i="38" s="1"/>
  <c r="F144" i="38" s="1"/>
  <c r="D145" i="38" s="1"/>
  <c r="G145" i="45"/>
  <c r="I145" i="45" s="1"/>
  <c r="D146" i="45"/>
  <c r="B145" i="45"/>
  <c r="H145" i="45"/>
  <c r="E146" i="22"/>
  <c r="F146" i="22" s="1"/>
  <c r="H146" i="22" s="1"/>
  <c r="E143" i="27"/>
  <c r="F143" i="27" s="1"/>
  <c r="H143" i="27" s="1"/>
  <c r="E150" i="7"/>
  <c r="F150" i="7" s="1"/>
  <c r="H150" i="7" s="1"/>
  <c r="E138" i="40"/>
  <c r="F138" i="40" s="1"/>
  <c r="H138" i="40" s="1"/>
  <c r="E147" i="5"/>
  <c r="F147" i="5" s="1"/>
  <c r="H147" i="5" s="1"/>
  <c r="E145" i="23"/>
  <c r="F145" i="23" s="1"/>
  <c r="H145" i="23" s="1"/>
  <c r="B143" i="42"/>
  <c r="E148" i="8"/>
  <c r="E149" i="9"/>
  <c r="F149" i="9" s="1"/>
  <c r="H149" i="9" s="1"/>
  <c r="E147" i="4"/>
  <c r="F147" i="4" s="1"/>
  <c r="H147" i="4" s="1"/>
  <c r="E142" i="28"/>
  <c r="F142" i="28" s="1"/>
  <c r="H142" i="28" s="1"/>
  <c r="E149" i="11"/>
  <c r="E148" i="6"/>
  <c r="F148" i="6" s="1"/>
  <c r="H148" i="6" s="1"/>
  <c r="E142" i="29"/>
  <c r="F142" i="29" s="1"/>
  <c r="H142" i="29" s="1"/>
  <c r="E141" i="30"/>
  <c r="F141" i="30" s="1"/>
  <c r="H141" i="30" s="1"/>
  <c r="E146" i="25"/>
  <c r="E150" i="10"/>
  <c r="F150" i="10" s="1"/>
  <c r="H150" i="10" s="1"/>
  <c r="H143" i="41"/>
  <c r="G143" i="41"/>
  <c r="I143" i="41" s="1"/>
  <c r="E142" i="31"/>
  <c r="F142" i="31" s="1"/>
  <c r="H142" i="31" s="1"/>
  <c r="E139" i="37"/>
  <c r="F139" i="37" s="1"/>
  <c r="H139" i="37" s="1"/>
  <c r="B144" i="38"/>
  <c r="G143" i="38"/>
  <c r="I143" i="38" s="1"/>
  <c r="E144" i="24"/>
  <c r="F144" i="24" s="1"/>
  <c r="H144" i="24" s="1"/>
  <c r="E147" i="44"/>
  <c r="F147" i="44" s="1"/>
  <c r="H147" i="44" s="1"/>
  <c r="B147" i="44"/>
  <c r="E143" i="42"/>
  <c r="F143" i="42" s="1"/>
  <c r="D144" i="42" s="1"/>
  <c r="E144" i="41"/>
  <c r="F144" i="41" s="1"/>
  <c r="H144" i="41" s="1"/>
  <c r="B144" i="41"/>
  <c r="B147" i="3"/>
  <c r="B143" i="27"/>
  <c r="B139" i="43"/>
  <c r="F139" i="43"/>
  <c r="H139" i="43" s="1"/>
  <c r="B142" i="31"/>
  <c r="B142" i="29"/>
  <c r="B147" i="4"/>
  <c r="B147" i="5"/>
  <c r="B139" i="37"/>
  <c r="I146" i="3"/>
  <c r="E147" i="3"/>
  <c r="F147" i="3" s="1"/>
  <c r="H147" i="3" s="1"/>
  <c r="B144" i="24"/>
  <c r="B148" i="8"/>
  <c r="F148" i="8"/>
  <c r="H148" i="8" s="1"/>
  <c r="B146" i="22"/>
  <c r="I146" i="4"/>
  <c r="B142" i="28"/>
  <c r="B146" i="25"/>
  <c r="F146" i="25"/>
  <c r="H146" i="25" s="1"/>
  <c r="I146" i="5"/>
  <c r="B148" i="6"/>
  <c r="B141" i="30"/>
  <c r="B149" i="9"/>
  <c r="B149" i="11"/>
  <c r="F149" i="11"/>
  <c r="H149" i="11" s="1"/>
  <c r="B138" i="40"/>
  <c r="B145" i="23"/>
  <c r="B150" i="7"/>
  <c r="B139" i="39"/>
  <c r="F139" i="39"/>
  <c r="H139" i="39" s="1"/>
  <c r="B150" i="10"/>
  <c r="E146" i="46" l="1"/>
  <c r="F146" i="46"/>
  <c r="B146" i="46"/>
  <c r="E146" i="45"/>
  <c r="F146" i="45" s="1"/>
  <c r="H146" i="45" s="1"/>
  <c r="B146" i="45"/>
  <c r="H143" i="42"/>
  <c r="B145" i="38"/>
  <c r="H144" i="38"/>
  <c r="G144" i="38"/>
  <c r="I144" i="38" s="1"/>
  <c r="D148" i="44"/>
  <c r="G147" i="44"/>
  <c r="I147" i="44" s="1"/>
  <c r="G143" i="42"/>
  <c r="I143" i="42" s="1"/>
  <c r="J146" i="4"/>
  <c r="J141" i="29"/>
  <c r="J141" i="31"/>
  <c r="E145" i="38"/>
  <c r="F145" i="38" s="1"/>
  <c r="D146" i="38" s="1"/>
  <c r="E144" i="42"/>
  <c r="F144" i="42" s="1"/>
  <c r="H144" i="42" s="1"/>
  <c r="B144" i="42"/>
  <c r="D145" i="41"/>
  <c r="G144" i="41"/>
  <c r="I144" i="41" s="1"/>
  <c r="J146" i="5"/>
  <c r="J146" i="3"/>
  <c r="J149" i="10"/>
  <c r="J149" i="7"/>
  <c r="D148" i="3"/>
  <c r="G147" i="3"/>
  <c r="D150" i="11"/>
  <c r="G149" i="11"/>
  <c r="I149" i="11" s="1"/>
  <c r="G141" i="30"/>
  <c r="I141" i="30" s="1"/>
  <c r="D142" i="30"/>
  <c r="G146" i="25"/>
  <c r="I146" i="25" s="1"/>
  <c r="D147" i="25"/>
  <c r="J140" i="30"/>
  <c r="G139" i="37"/>
  <c r="I139" i="37" s="1"/>
  <c r="D140" i="37"/>
  <c r="G147" i="5"/>
  <c r="D148" i="5"/>
  <c r="G147" i="4"/>
  <c r="D148" i="4"/>
  <c r="G142" i="29"/>
  <c r="I142" i="29" s="1"/>
  <c r="D143" i="29"/>
  <c r="G142" i="31"/>
  <c r="I142" i="31" s="1"/>
  <c r="D143" i="31"/>
  <c r="G139" i="43"/>
  <c r="I139" i="43" s="1"/>
  <c r="D140" i="43"/>
  <c r="G143" i="27"/>
  <c r="I143" i="27" s="1"/>
  <c r="D144" i="27"/>
  <c r="G142" i="28"/>
  <c r="I142" i="28" s="1"/>
  <c r="D143" i="28"/>
  <c r="G148" i="6"/>
  <c r="I148" i="6" s="1"/>
  <c r="D149" i="6"/>
  <c r="G150" i="10"/>
  <c r="I150" i="10" s="1"/>
  <c r="D151" i="10"/>
  <c r="G139" i="39"/>
  <c r="I139" i="39" s="1"/>
  <c r="D140" i="39"/>
  <c r="G150" i="7"/>
  <c r="I150" i="7" s="1"/>
  <c r="D151" i="7"/>
  <c r="G145" i="23"/>
  <c r="I145" i="23" s="1"/>
  <c r="D146" i="23"/>
  <c r="G138" i="40"/>
  <c r="I138" i="40" s="1"/>
  <c r="D139" i="40"/>
  <c r="J141" i="28"/>
  <c r="G149" i="9"/>
  <c r="I149" i="9" s="1"/>
  <c r="D150" i="9"/>
  <c r="J147" i="8"/>
  <c r="G146" i="22"/>
  <c r="I146" i="22" s="1"/>
  <c r="D147" i="22"/>
  <c r="G148" i="8"/>
  <c r="I148" i="8" s="1"/>
  <c r="D149" i="8"/>
  <c r="D145" i="24"/>
  <c r="G144" i="24"/>
  <c r="I144" i="24" s="1"/>
  <c r="J142" i="27"/>
  <c r="J147" i="6"/>
  <c r="D147" i="46" l="1"/>
  <c r="B147" i="46" s="1"/>
  <c r="H146" i="46"/>
  <c r="G146" i="46"/>
  <c r="I146" i="46" s="1"/>
  <c r="E147" i="46"/>
  <c r="F147" i="46" s="1"/>
  <c r="G147" i="46" s="1"/>
  <c r="I147" i="46" s="1"/>
  <c r="D147" i="45"/>
  <c r="E147" i="45" s="1"/>
  <c r="F147" i="45" s="1"/>
  <c r="G146" i="45"/>
  <c r="I146" i="45" s="1"/>
  <c r="E147" i="22"/>
  <c r="F147" i="22" s="1"/>
  <c r="H147" i="22" s="1"/>
  <c r="E140" i="39"/>
  <c r="F140" i="39" s="1"/>
  <c r="H140" i="39" s="1"/>
  <c r="E148" i="4"/>
  <c r="F148" i="4" s="1"/>
  <c r="H148" i="4" s="1"/>
  <c r="E142" i="30"/>
  <c r="F142" i="30" s="1"/>
  <c r="H142" i="30" s="1"/>
  <c r="E149" i="6"/>
  <c r="E139" i="40"/>
  <c r="F139" i="40" s="1"/>
  <c r="H139" i="40" s="1"/>
  <c r="E143" i="28"/>
  <c r="F143" i="28" s="1"/>
  <c r="H143" i="28" s="1"/>
  <c r="E143" i="29"/>
  <c r="F143" i="29" s="1"/>
  <c r="H143" i="29" s="1"/>
  <c r="E148" i="5"/>
  <c r="F148" i="5" s="1"/>
  <c r="H148" i="5" s="1"/>
  <c r="E148" i="3"/>
  <c r="F148" i="3" s="1"/>
  <c r="H148" i="3" s="1"/>
  <c r="E146" i="23"/>
  <c r="F146" i="23" s="1"/>
  <c r="H146" i="23" s="1"/>
  <c r="E144" i="27"/>
  <c r="F144" i="27" s="1"/>
  <c r="H144" i="27" s="1"/>
  <c r="E149" i="8"/>
  <c r="F149" i="8" s="1"/>
  <c r="H149" i="8" s="1"/>
  <c r="E151" i="10"/>
  <c r="F151" i="10" s="1"/>
  <c r="H151" i="10" s="1"/>
  <c r="E140" i="43"/>
  <c r="F140" i="43" s="1"/>
  <c r="H140" i="43" s="1"/>
  <c r="E150" i="9"/>
  <c r="E147" i="25"/>
  <c r="E143" i="31"/>
  <c r="F143" i="31" s="1"/>
  <c r="H143" i="31" s="1"/>
  <c r="E140" i="37"/>
  <c r="F140" i="37" s="1"/>
  <c r="H140" i="37" s="1"/>
  <c r="B146" i="38"/>
  <c r="H145" i="38"/>
  <c r="E145" i="24"/>
  <c r="E148" i="44"/>
  <c r="F148" i="44" s="1"/>
  <c r="H148" i="44" s="1"/>
  <c r="B148" i="44"/>
  <c r="G145" i="38"/>
  <c r="I145" i="38" s="1"/>
  <c r="E146" i="38"/>
  <c r="F146" i="38" s="1"/>
  <c r="D147" i="38" s="1"/>
  <c r="G144" i="42"/>
  <c r="I144" i="42" s="1"/>
  <c r="D145" i="42"/>
  <c r="E145" i="41"/>
  <c r="F145" i="41" s="1"/>
  <c r="H145" i="41" s="1"/>
  <c r="B145" i="41"/>
  <c r="B151" i="7"/>
  <c r="B143" i="28"/>
  <c r="B143" i="29"/>
  <c r="I147" i="4"/>
  <c r="B142" i="30"/>
  <c r="B150" i="11"/>
  <c r="B145" i="24"/>
  <c r="F145" i="24"/>
  <c r="H145" i="24" s="1"/>
  <c r="B146" i="23"/>
  <c r="B149" i="6"/>
  <c r="F149" i="6"/>
  <c r="H149" i="6" s="1"/>
  <c r="B143" i="31"/>
  <c r="B140" i="37"/>
  <c r="B147" i="25"/>
  <c r="F147" i="25"/>
  <c r="H147" i="25" s="1"/>
  <c r="B147" i="22"/>
  <c r="B150" i="9"/>
  <c r="F150" i="9"/>
  <c r="H150" i="9" s="1"/>
  <c r="B139" i="40"/>
  <c r="B151" i="10"/>
  <c r="B140" i="43"/>
  <c r="B148" i="5"/>
  <c r="E150" i="11"/>
  <c r="F150" i="11" s="1"/>
  <c r="H150" i="11" s="1"/>
  <c r="I147" i="3"/>
  <c r="B149" i="8"/>
  <c r="E151" i="7"/>
  <c r="F151" i="7" s="1"/>
  <c r="H151" i="7" s="1"/>
  <c r="B140" i="39"/>
  <c r="B144" i="27"/>
  <c r="B148" i="4"/>
  <c r="I147" i="5"/>
  <c r="B148" i="3"/>
  <c r="H147" i="46" l="1"/>
  <c r="D148" i="46"/>
  <c r="B148" i="46" s="1"/>
  <c r="E148" i="46"/>
  <c r="F148" i="46" s="1"/>
  <c r="D149" i="46" s="1"/>
  <c r="D148" i="45"/>
  <c r="B148" i="45" s="1"/>
  <c r="G147" i="45"/>
  <c r="I147" i="45" s="1"/>
  <c r="B147" i="45"/>
  <c r="H147" i="45"/>
  <c r="B145" i="42"/>
  <c r="B147" i="38"/>
  <c r="H146" i="38"/>
  <c r="D149" i="44"/>
  <c r="G148" i="44"/>
  <c r="I148" i="44" s="1"/>
  <c r="G146" i="38"/>
  <c r="I146" i="38" s="1"/>
  <c r="E145" i="42"/>
  <c r="F145" i="42" s="1"/>
  <c r="G145" i="42" s="1"/>
  <c r="I145" i="42" s="1"/>
  <c r="J147" i="3"/>
  <c r="E147" i="38"/>
  <c r="F147" i="38" s="1"/>
  <c r="H147" i="38" s="1"/>
  <c r="G145" i="41"/>
  <c r="I145" i="41" s="1"/>
  <c r="D146" i="41"/>
  <c r="J147" i="4"/>
  <c r="J143" i="27"/>
  <c r="J148" i="8"/>
  <c r="J142" i="31"/>
  <c r="J148" i="6"/>
  <c r="J141" i="30"/>
  <c r="G151" i="7"/>
  <c r="I151" i="7" s="1"/>
  <c r="D152" i="7"/>
  <c r="D151" i="11"/>
  <c r="G150" i="11"/>
  <c r="I150" i="11" s="1"/>
  <c r="G148" i="4"/>
  <c r="D149" i="4"/>
  <c r="G144" i="27"/>
  <c r="I144" i="27" s="1"/>
  <c r="D145" i="27"/>
  <c r="G140" i="39"/>
  <c r="I140" i="39" s="1"/>
  <c r="D141" i="39"/>
  <c r="G150" i="9"/>
  <c r="I150" i="9" s="1"/>
  <c r="D151" i="9"/>
  <c r="G140" i="37"/>
  <c r="I140" i="37" s="1"/>
  <c r="D141" i="37"/>
  <c r="G143" i="31"/>
  <c r="I143" i="31" s="1"/>
  <c r="D144" i="31"/>
  <c r="G149" i="6"/>
  <c r="I149" i="6" s="1"/>
  <c r="D150" i="6"/>
  <c r="G146" i="23"/>
  <c r="I146" i="23" s="1"/>
  <c r="D147" i="23"/>
  <c r="G149" i="8"/>
  <c r="I149" i="8" s="1"/>
  <c r="D150" i="8"/>
  <c r="G148" i="3"/>
  <c r="D149" i="3"/>
  <c r="J147" i="5"/>
  <c r="J150" i="10"/>
  <c r="G148" i="5"/>
  <c r="D149" i="5"/>
  <c r="G140" i="43"/>
  <c r="I140" i="43" s="1"/>
  <c r="D141" i="43"/>
  <c r="G151" i="10"/>
  <c r="I151" i="10" s="1"/>
  <c r="D152" i="10"/>
  <c r="G139" i="40"/>
  <c r="I139" i="40" s="1"/>
  <c r="D140" i="40"/>
  <c r="G147" i="22"/>
  <c r="I147" i="22" s="1"/>
  <c r="D148" i="22"/>
  <c r="G147" i="25"/>
  <c r="I147" i="25" s="1"/>
  <c r="D148" i="25"/>
  <c r="J142" i="29"/>
  <c r="J142" i="28"/>
  <c r="J150" i="7"/>
  <c r="G145" i="24"/>
  <c r="I145" i="24" s="1"/>
  <c r="D146" i="24"/>
  <c r="G142" i="30"/>
  <c r="I142" i="30" s="1"/>
  <c r="D143" i="30"/>
  <c r="G143" i="29"/>
  <c r="I143" i="29" s="1"/>
  <c r="D144" i="29"/>
  <c r="D144" i="28"/>
  <c r="G143" i="28"/>
  <c r="I143" i="28" s="1"/>
  <c r="G148" i="46" l="1"/>
  <c r="I148" i="46" s="1"/>
  <c r="H148" i="46"/>
  <c r="E148" i="45"/>
  <c r="F148" i="45" s="1"/>
  <c r="H148" i="45" s="1"/>
  <c r="G148" i="45"/>
  <c r="I148" i="45" s="1"/>
  <c r="E144" i="29"/>
  <c r="E151" i="11"/>
  <c r="F151" i="11" s="1"/>
  <c r="H151" i="11" s="1"/>
  <c r="B149" i="46"/>
  <c r="E140" i="40"/>
  <c r="F140" i="40" s="1"/>
  <c r="H140" i="40" s="1"/>
  <c r="E150" i="6"/>
  <c r="F150" i="6" s="1"/>
  <c r="H150" i="6" s="1"/>
  <c r="E141" i="39"/>
  <c r="F141" i="39" s="1"/>
  <c r="H141" i="39" s="1"/>
  <c r="E152" i="7"/>
  <c r="F152" i="7" s="1"/>
  <c r="H152" i="7" s="1"/>
  <c r="E148" i="25"/>
  <c r="F148" i="25" s="1"/>
  <c r="H148" i="25" s="1"/>
  <c r="E141" i="43"/>
  <c r="F141" i="43" s="1"/>
  <c r="H141" i="43" s="1"/>
  <c r="E143" i="30"/>
  <c r="E149" i="46"/>
  <c r="F149" i="46" s="1"/>
  <c r="H145" i="42"/>
  <c r="E144" i="28"/>
  <c r="F144" i="28" s="1"/>
  <c r="H144" i="28" s="1"/>
  <c r="E152" i="10"/>
  <c r="F152" i="10" s="1"/>
  <c r="H152" i="10" s="1"/>
  <c r="E149" i="3"/>
  <c r="F149" i="3" s="1"/>
  <c r="H149" i="3" s="1"/>
  <c r="E147" i="23"/>
  <c r="F147" i="23" s="1"/>
  <c r="H147" i="23" s="1"/>
  <c r="E151" i="9"/>
  <c r="F151" i="9" s="1"/>
  <c r="H151" i="9" s="1"/>
  <c r="E145" i="27"/>
  <c r="E144" i="31"/>
  <c r="F144" i="31" s="1"/>
  <c r="H144" i="31" s="1"/>
  <c r="E141" i="37"/>
  <c r="F141" i="37" s="1"/>
  <c r="H141" i="37" s="1"/>
  <c r="E146" i="24"/>
  <c r="F146" i="24" s="1"/>
  <c r="H146" i="24" s="1"/>
  <c r="D146" i="42"/>
  <c r="E149" i="44"/>
  <c r="F149" i="44" s="1"/>
  <c r="H149" i="44" s="1"/>
  <c r="B149" i="44"/>
  <c r="E146" i="41"/>
  <c r="F146" i="41" s="1"/>
  <c r="H146" i="41" s="1"/>
  <c r="B146" i="41"/>
  <c r="D148" i="38"/>
  <c r="G147" i="38"/>
  <c r="I147" i="38" s="1"/>
  <c r="B143" i="30"/>
  <c r="F143" i="30"/>
  <c r="H143" i="30" s="1"/>
  <c r="B148" i="22"/>
  <c r="B149" i="5"/>
  <c r="B150" i="8"/>
  <c r="B141" i="37"/>
  <c r="B149" i="4"/>
  <c r="B151" i="11"/>
  <c r="B149" i="3"/>
  <c r="B144" i="31"/>
  <c r="B145" i="27"/>
  <c r="F145" i="27"/>
  <c r="H145" i="27" s="1"/>
  <c r="I148" i="4"/>
  <c r="B144" i="29"/>
  <c r="F144" i="29"/>
  <c r="H144" i="29" s="1"/>
  <c r="B141" i="43"/>
  <c r="I148" i="5"/>
  <c r="B152" i="10"/>
  <c r="I148" i="3"/>
  <c r="B150" i="6"/>
  <c r="B141" i="39"/>
  <c r="B152" i="7"/>
  <c r="B148" i="25"/>
  <c r="B144" i="28"/>
  <c r="B146" i="24"/>
  <c r="E148" i="22"/>
  <c r="F148" i="22" s="1"/>
  <c r="H148" i="22" s="1"/>
  <c r="B140" i="40"/>
  <c r="E149" i="5"/>
  <c r="F149" i="5" s="1"/>
  <c r="H149" i="5" s="1"/>
  <c r="E150" i="8"/>
  <c r="F150" i="8" s="1"/>
  <c r="H150" i="8" s="1"/>
  <c r="B147" i="23"/>
  <c r="B151" i="9"/>
  <c r="E149" i="4"/>
  <c r="F149" i="4" s="1"/>
  <c r="H149" i="4" s="1"/>
  <c r="D149" i="45" l="1"/>
  <c r="B149" i="45" s="1"/>
  <c r="E149" i="45"/>
  <c r="F149" i="45" s="1"/>
  <c r="H149" i="45" s="1"/>
  <c r="H149" i="46"/>
  <c r="G149" i="46"/>
  <c r="I149" i="46" s="1"/>
  <c r="D150" i="46"/>
  <c r="B150" i="46" s="1"/>
  <c r="E146" i="42"/>
  <c r="F146" i="42" s="1"/>
  <c r="H146" i="42" s="1"/>
  <c r="D150" i="44"/>
  <c r="G149" i="44"/>
  <c r="I149" i="44" s="1"/>
  <c r="B146" i="42"/>
  <c r="D147" i="42"/>
  <c r="D147" i="41"/>
  <c r="G146" i="41"/>
  <c r="I146" i="41" s="1"/>
  <c r="E148" i="38"/>
  <c r="F148" i="38" s="1"/>
  <c r="H148" i="38" s="1"/>
  <c r="B148" i="38"/>
  <c r="J142" i="30"/>
  <c r="J151" i="7"/>
  <c r="J144" i="27"/>
  <c r="J143" i="31"/>
  <c r="J148" i="3"/>
  <c r="G148" i="22"/>
  <c r="I148" i="22" s="1"/>
  <c r="D149" i="22"/>
  <c r="G149" i="4"/>
  <c r="D150" i="4"/>
  <c r="G150" i="8"/>
  <c r="I150" i="8" s="1"/>
  <c r="D151" i="8"/>
  <c r="G149" i="5"/>
  <c r="D150" i="5"/>
  <c r="J151" i="10"/>
  <c r="G146" i="24"/>
  <c r="I146" i="24" s="1"/>
  <c r="D147" i="24"/>
  <c r="G148" i="25"/>
  <c r="I148" i="25" s="1"/>
  <c r="D149" i="25"/>
  <c r="G152" i="10"/>
  <c r="I152" i="10" s="1"/>
  <c r="D153" i="10"/>
  <c r="J143" i="29"/>
  <c r="J148" i="5"/>
  <c r="G144" i="29"/>
  <c r="I144" i="29" s="1"/>
  <c r="D145" i="29"/>
  <c r="G145" i="27"/>
  <c r="I145" i="27" s="1"/>
  <c r="D146" i="27"/>
  <c r="G149" i="3"/>
  <c r="D150" i="3"/>
  <c r="G141" i="37"/>
  <c r="I141" i="37" s="1"/>
  <c r="D142" i="37"/>
  <c r="G144" i="31"/>
  <c r="I144" i="31" s="1"/>
  <c r="D145" i="31"/>
  <c r="G140" i="40"/>
  <c r="I140" i="40" s="1"/>
  <c r="D141" i="40"/>
  <c r="J149" i="6"/>
  <c r="G144" i="28"/>
  <c r="I144" i="28" s="1"/>
  <c r="D145" i="28"/>
  <c r="D153" i="7"/>
  <c r="G152" i="7"/>
  <c r="I152" i="7" s="1"/>
  <c r="G141" i="39"/>
  <c r="I141" i="39" s="1"/>
  <c r="D142" i="39"/>
  <c r="G150" i="6"/>
  <c r="I150" i="6" s="1"/>
  <c r="D151" i="6"/>
  <c r="J143" i="28"/>
  <c r="G141" i="43"/>
  <c r="I141" i="43" s="1"/>
  <c r="D142" i="43"/>
  <c r="J148" i="4"/>
  <c r="J149" i="8"/>
  <c r="G151" i="11"/>
  <c r="I151" i="11" s="1"/>
  <c r="D152" i="11"/>
  <c r="G143" i="30"/>
  <c r="I143" i="30" s="1"/>
  <c r="D144" i="30"/>
  <c r="D152" i="9"/>
  <c r="G151" i="9"/>
  <c r="I151" i="9" s="1"/>
  <c r="G147" i="23"/>
  <c r="I147" i="23" s="1"/>
  <c r="D148" i="23"/>
  <c r="D150" i="45" l="1"/>
  <c r="B150" i="45" s="1"/>
  <c r="G149" i="45"/>
  <c r="I149" i="45" s="1"/>
  <c r="E150" i="46"/>
  <c r="F150" i="46" s="1"/>
  <c r="G150" i="46" s="1"/>
  <c r="I150" i="46" s="1"/>
  <c r="G146" i="42"/>
  <c r="I146" i="42" s="1"/>
  <c r="E152" i="11"/>
  <c r="E146" i="27"/>
  <c r="E142" i="39"/>
  <c r="E145" i="28"/>
  <c r="F145" i="28" s="1"/>
  <c r="H145" i="28" s="1"/>
  <c r="E150" i="5"/>
  <c r="E150" i="4"/>
  <c r="F150" i="4" s="1"/>
  <c r="H150" i="4" s="1"/>
  <c r="E142" i="43"/>
  <c r="F142" i="43" s="1"/>
  <c r="H142" i="43" s="1"/>
  <c r="E141" i="40"/>
  <c r="F141" i="40" s="1"/>
  <c r="H141" i="40" s="1"/>
  <c r="E149" i="25"/>
  <c r="F149" i="25" s="1"/>
  <c r="H149" i="25" s="1"/>
  <c r="E144" i="30"/>
  <c r="E145" i="29"/>
  <c r="F145" i="29" s="1"/>
  <c r="H145" i="29" s="1"/>
  <c r="E153" i="10"/>
  <c r="F153" i="10" s="1"/>
  <c r="H153" i="10" s="1"/>
  <c r="E152" i="9"/>
  <c r="F152" i="9" s="1"/>
  <c r="H152" i="9" s="1"/>
  <c r="E151" i="6"/>
  <c r="E149" i="22"/>
  <c r="F149" i="22" s="1"/>
  <c r="H149" i="22" s="1"/>
  <c r="B150" i="44"/>
  <c r="E145" i="31"/>
  <c r="F145" i="31" s="1"/>
  <c r="H145" i="31" s="1"/>
  <c r="E142" i="37"/>
  <c r="E147" i="24"/>
  <c r="F147" i="24" s="1"/>
  <c r="H147" i="24" s="1"/>
  <c r="E150" i="44"/>
  <c r="F150" i="44" s="1"/>
  <c r="G150" i="44" s="1"/>
  <c r="I150" i="44" s="1"/>
  <c r="E147" i="41"/>
  <c r="F147" i="41" s="1"/>
  <c r="H147" i="41" s="1"/>
  <c r="B147" i="41"/>
  <c r="D149" i="38"/>
  <c r="G148" i="38"/>
  <c r="I148" i="38" s="1"/>
  <c r="E147" i="42"/>
  <c r="F147" i="42" s="1"/>
  <c r="H147" i="42" s="1"/>
  <c r="B147" i="42"/>
  <c r="B148" i="23"/>
  <c r="B152" i="9"/>
  <c r="B150" i="3"/>
  <c r="B151" i="8"/>
  <c r="I149" i="4"/>
  <c r="B152" i="11"/>
  <c r="F152" i="11"/>
  <c r="H152" i="11" s="1"/>
  <c r="B142" i="39"/>
  <c r="F142" i="39"/>
  <c r="H142" i="39" s="1"/>
  <c r="B153" i="7"/>
  <c r="B142" i="37"/>
  <c r="F142" i="37"/>
  <c r="H142" i="37" s="1"/>
  <c r="I149" i="3"/>
  <c r="B147" i="24"/>
  <c r="B150" i="5"/>
  <c r="F150" i="5"/>
  <c r="H150" i="5" s="1"/>
  <c r="B142" i="43"/>
  <c r="B151" i="6"/>
  <c r="F151" i="6"/>
  <c r="H151" i="6" s="1"/>
  <c r="B145" i="31"/>
  <c r="B145" i="29"/>
  <c r="B149" i="25"/>
  <c r="I149" i="5"/>
  <c r="B149" i="22"/>
  <c r="B144" i="30"/>
  <c r="F144" i="30"/>
  <c r="H144" i="30" s="1"/>
  <c r="E148" i="23"/>
  <c r="F148" i="23" s="1"/>
  <c r="H148" i="23" s="1"/>
  <c r="E153" i="7"/>
  <c r="F153" i="7" s="1"/>
  <c r="H153" i="7" s="1"/>
  <c r="B145" i="28"/>
  <c r="B141" i="40"/>
  <c r="E150" i="3"/>
  <c r="F150" i="3" s="1"/>
  <c r="H150" i="3" s="1"/>
  <c r="B146" i="27"/>
  <c r="F146" i="27"/>
  <c r="H146" i="27" s="1"/>
  <c r="B153" i="10"/>
  <c r="E151" i="8"/>
  <c r="F151" i="8" s="1"/>
  <c r="H151" i="8" s="1"/>
  <c r="B150" i="4"/>
  <c r="E150" i="45" l="1"/>
  <c r="F150" i="45" s="1"/>
  <c r="D151" i="46"/>
  <c r="E151" i="46" s="1"/>
  <c r="H150" i="46"/>
  <c r="B151" i="46"/>
  <c r="H150" i="44"/>
  <c r="D151" i="44"/>
  <c r="B151" i="44" s="1"/>
  <c r="J144" i="29"/>
  <c r="E149" i="38"/>
  <c r="F149" i="38" s="1"/>
  <c r="H149" i="38" s="1"/>
  <c r="B149" i="38"/>
  <c r="G147" i="42"/>
  <c r="I147" i="42" s="1"/>
  <c r="D148" i="42"/>
  <c r="G147" i="41"/>
  <c r="I147" i="41" s="1"/>
  <c r="D148" i="41"/>
  <c r="J150" i="6"/>
  <c r="J143" i="30"/>
  <c r="J145" i="27"/>
  <c r="J144" i="31"/>
  <c r="J152" i="10"/>
  <c r="J150" i="8"/>
  <c r="G151" i="8"/>
  <c r="I151" i="8" s="1"/>
  <c r="D152" i="8"/>
  <c r="G153" i="7"/>
  <c r="I153" i="7" s="1"/>
  <c r="D154" i="7"/>
  <c r="E154" i="7" s="1"/>
  <c r="E155" i="7" s="1"/>
  <c r="G148" i="23"/>
  <c r="I148" i="23" s="1"/>
  <c r="D149" i="23"/>
  <c r="D151" i="3"/>
  <c r="G150" i="3"/>
  <c r="G153" i="10"/>
  <c r="I153" i="10" s="1"/>
  <c r="D154" i="10"/>
  <c r="E154" i="10" s="1"/>
  <c r="E155" i="10" s="1"/>
  <c r="G141" i="40"/>
  <c r="I141" i="40" s="1"/>
  <c r="D142" i="40"/>
  <c r="G144" i="30"/>
  <c r="I144" i="30" s="1"/>
  <c r="D145" i="30"/>
  <c r="J149" i="5"/>
  <c r="G149" i="25"/>
  <c r="I149" i="25" s="1"/>
  <c r="D150" i="25"/>
  <c r="G142" i="43"/>
  <c r="I142" i="43" s="1"/>
  <c r="D143" i="43"/>
  <c r="G150" i="5"/>
  <c r="D151" i="5"/>
  <c r="J149" i="3"/>
  <c r="G152" i="11"/>
  <c r="I152" i="11" s="1"/>
  <c r="D153" i="11"/>
  <c r="J152" i="7"/>
  <c r="G150" i="4"/>
  <c r="D151" i="4"/>
  <c r="G145" i="28"/>
  <c r="I145" i="28" s="1"/>
  <c r="D146" i="28"/>
  <c r="G149" i="22"/>
  <c r="I149" i="22" s="1"/>
  <c r="D150" i="22"/>
  <c r="G145" i="29"/>
  <c r="I145" i="29" s="1"/>
  <c r="D146" i="29"/>
  <c r="G145" i="31"/>
  <c r="I145" i="31" s="1"/>
  <c r="D146" i="31"/>
  <c r="D152" i="6"/>
  <c r="G151" i="6"/>
  <c r="I151" i="6" s="1"/>
  <c r="G147" i="24"/>
  <c r="I147" i="24" s="1"/>
  <c r="D148" i="24"/>
  <c r="G142" i="37"/>
  <c r="I142" i="37" s="1"/>
  <c r="D143" i="37"/>
  <c r="G142" i="39"/>
  <c r="I142" i="39" s="1"/>
  <c r="D143" i="39"/>
  <c r="J149" i="4"/>
  <c r="J144" i="28"/>
  <c r="D153" i="9"/>
  <c r="G152" i="9"/>
  <c r="I152" i="9" s="1"/>
  <c r="G146" i="27"/>
  <c r="I146" i="27" s="1"/>
  <c r="D147" i="27"/>
  <c r="F151" i="46" l="1"/>
  <c r="G150" i="45"/>
  <c r="I150" i="45" s="1"/>
  <c r="H150" i="45"/>
  <c r="D151" i="45"/>
  <c r="E146" i="29"/>
  <c r="E153" i="11"/>
  <c r="E142" i="40"/>
  <c r="F142" i="40" s="1"/>
  <c r="H142" i="40" s="1"/>
  <c r="E147" i="27"/>
  <c r="F147" i="27" s="1"/>
  <c r="H147" i="27" s="1"/>
  <c r="E146" i="28"/>
  <c r="E143" i="39"/>
  <c r="E151" i="4"/>
  <c r="E143" i="43"/>
  <c r="F143" i="43" s="1"/>
  <c r="H143" i="43" s="1"/>
  <c r="E151" i="3"/>
  <c r="F151" i="3" s="1"/>
  <c r="H151" i="3" s="1"/>
  <c r="H151" i="46"/>
  <c r="D152" i="46"/>
  <c r="B152" i="46" s="1"/>
  <c r="G151" i="46"/>
  <c r="I151" i="46" s="1"/>
  <c r="E151" i="5"/>
  <c r="E152" i="6"/>
  <c r="F152" i="6" s="1"/>
  <c r="H152" i="6" s="1"/>
  <c r="E153" i="9"/>
  <c r="E145" i="30"/>
  <c r="E152" i="8"/>
  <c r="B148" i="41"/>
  <c r="E151" i="44"/>
  <c r="F151" i="44" s="1"/>
  <c r="H151" i="44" s="1"/>
  <c r="E146" i="31"/>
  <c r="F146" i="31" s="1"/>
  <c r="H146" i="31" s="1"/>
  <c r="E143" i="37"/>
  <c r="E148" i="41"/>
  <c r="F148" i="41" s="1"/>
  <c r="G148" i="41" s="1"/>
  <c r="I148" i="41" s="1"/>
  <c r="D150" i="38"/>
  <c r="G149" i="38"/>
  <c r="I149" i="38" s="1"/>
  <c r="E148" i="42"/>
  <c r="F148" i="42" s="1"/>
  <c r="H148" i="42" s="1"/>
  <c r="B148" i="42"/>
  <c r="B148" i="24"/>
  <c r="B152" i="6"/>
  <c r="B150" i="22"/>
  <c r="B150" i="25"/>
  <c r="B145" i="30"/>
  <c r="F145" i="30"/>
  <c r="H145" i="30" s="1"/>
  <c r="B149" i="23"/>
  <c r="B153" i="9"/>
  <c r="F153" i="9"/>
  <c r="H153" i="9" s="1"/>
  <c r="B143" i="37"/>
  <c r="F143" i="37"/>
  <c r="H143" i="37" s="1"/>
  <c r="B146" i="29"/>
  <c r="F146" i="29"/>
  <c r="H146" i="29" s="1"/>
  <c r="B143" i="43"/>
  <c r="I150" i="3"/>
  <c r="B143" i="39"/>
  <c r="F143" i="39"/>
  <c r="H143" i="39" s="1"/>
  <c r="B146" i="31"/>
  <c r="B153" i="11"/>
  <c r="F153" i="11"/>
  <c r="H153" i="11" s="1"/>
  <c r="B151" i="5"/>
  <c r="F151" i="5"/>
  <c r="H151" i="5" s="1"/>
  <c r="B154" i="10"/>
  <c r="F154" i="10"/>
  <c r="G154" i="10" s="1"/>
  <c r="B151" i="3"/>
  <c r="B152" i="8"/>
  <c r="F152" i="8"/>
  <c r="H152" i="8" s="1"/>
  <c r="B147" i="27"/>
  <c r="B151" i="4"/>
  <c r="F151" i="4"/>
  <c r="H151" i="4" s="1"/>
  <c r="E148" i="24"/>
  <c r="F148" i="24" s="1"/>
  <c r="H148" i="24" s="1"/>
  <c r="E150" i="22"/>
  <c r="F150" i="22" s="1"/>
  <c r="H150" i="22" s="1"/>
  <c r="B146" i="28"/>
  <c r="F146" i="28"/>
  <c r="H146" i="28" s="1"/>
  <c r="I150" i="4"/>
  <c r="I150" i="5"/>
  <c r="E150" i="25"/>
  <c r="F150" i="25" s="1"/>
  <c r="H150" i="25" s="1"/>
  <c r="B142" i="40"/>
  <c r="E149" i="23"/>
  <c r="F149" i="23" s="1"/>
  <c r="H149" i="23" s="1"/>
  <c r="B154" i="7"/>
  <c r="F154" i="7"/>
  <c r="G154" i="7" s="1"/>
  <c r="E151" i="45" l="1"/>
  <c r="F151" i="45" s="1"/>
  <c r="B151" i="45"/>
  <c r="H151" i="45"/>
  <c r="D152" i="44"/>
  <c r="E152" i="44" s="1"/>
  <c r="F152" i="44" s="1"/>
  <c r="H152" i="44" s="1"/>
  <c r="H148" i="41"/>
  <c r="G151" i="44"/>
  <c r="I151" i="44" s="1"/>
  <c r="E152" i="46"/>
  <c r="F152" i="46" s="1"/>
  <c r="D149" i="41"/>
  <c r="G148" i="42"/>
  <c r="I148" i="42" s="1"/>
  <c r="D149" i="42"/>
  <c r="E150" i="38"/>
  <c r="F150" i="38" s="1"/>
  <c r="H150" i="38" s="1"/>
  <c r="B150" i="38"/>
  <c r="J151" i="6"/>
  <c r="J145" i="28"/>
  <c r="J153" i="10"/>
  <c r="J145" i="31"/>
  <c r="J153" i="7"/>
  <c r="G150" i="25"/>
  <c r="I150" i="25" s="1"/>
  <c r="D151" i="25"/>
  <c r="G149" i="23"/>
  <c r="I149" i="23" s="1"/>
  <c r="D150" i="23"/>
  <c r="G150" i="22"/>
  <c r="I150" i="22" s="1"/>
  <c r="D151" i="22"/>
  <c r="G148" i="24"/>
  <c r="I148" i="24" s="1"/>
  <c r="D149" i="24"/>
  <c r="J151" i="8"/>
  <c r="G146" i="28"/>
  <c r="I146" i="28" s="1"/>
  <c r="D147" i="28"/>
  <c r="G151" i="4"/>
  <c r="D152" i="4"/>
  <c r="G152" i="8"/>
  <c r="I152" i="8" s="1"/>
  <c r="D153" i="8"/>
  <c r="H154" i="10"/>
  <c r="H155" i="10" s="1"/>
  <c r="I154" i="10"/>
  <c r="G151" i="5"/>
  <c r="D152" i="5"/>
  <c r="J145" i="29"/>
  <c r="J144" i="30"/>
  <c r="G143" i="43"/>
  <c r="I143" i="43" s="1"/>
  <c r="D144" i="43"/>
  <c r="G146" i="29"/>
  <c r="I146" i="29" s="1"/>
  <c r="D147" i="29"/>
  <c r="G143" i="37"/>
  <c r="I143" i="37" s="1"/>
  <c r="D144" i="37"/>
  <c r="D154" i="9"/>
  <c r="G153" i="9"/>
  <c r="I153" i="9" s="1"/>
  <c r="G145" i="30"/>
  <c r="I145" i="30" s="1"/>
  <c r="D146" i="30"/>
  <c r="D153" i="6"/>
  <c r="G152" i="6"/>
  <c r="I152" i="6" s="1"/>
  <c r="I154" i="7"/>
  <c r="H154" i="7"/>
  <c r="H155" i="7" s="1"/>
  <c r="J150" i="5"/>
  <c r="J150" i="4"/>
  <c r="J146" i="27"/>
  <c r="G147" i="27"/>
  <c r="I147" i="27" s="1"/>
  <c r="D148" i="27"/>
  <c r="G151" i="3"/>
  <c r="D152" i="3"/>
  <c r="D154" i="11"/>
  <c r="E154" i="11" s="1"/>
  <c r="E155" i="11" s="1"/>
  <c r="G153" i="11"/>
  <c r="I153" i="11" s="1"/>
  <c r="G146" i="31"/>
  <c r="I146" i="31" s="1"/>
  <c r="D147" i="31"/>
  <c r="G143" i="39"/>
  <c r="I143" i="39" s="1"/>
  <c r="D144" i="39"/>
  <c r="J150" i="3"/>
  <c r="G142" i="40"/>
  <c r="I142" i="40" s="1"/>
  <c r="D143" i="40"/>
  <c r="B152" i="44" l="1"/>
  <c r="D152" i="45"/>
  <c r="G151" i="45"/>
  <c r="I151" i="45" s="1"/>
  <c r="E147" i="29"/>
  <c r="E144" i="39"/>
  <c r="F144" i="39" s="1"/>
  <c r="H144" i="39" s="1"/>
  <c r="E148" i="27"/>
  <c r="E153" i="6"/>
  <c r="F153" i="6" s="1"/>
  <c r="H153" i="6" s="1"/>
  <c r="E150" i="23"/>
  <c r="F150" i="23" s="1"/>
  <c r="H150" i="23" s="1"/>
  <c r="E146" i="30"/>
  <c r="F146" i="30" s="1"/>
  <c r="H146" i="30" s="1"/>
  <c r="E144" i="43"/>
  <c r="E152" i="5"/>
  <c r="F152" i="5" s="1"/>
  <c r="H152" i="5" s="1"/>
  <c r="E153" i="8"/>
  <c r="F153" i="8" s="1"/>
  <c r="H153" i="8" s="1"/>
  <c r="E147" i="28"/>
  <c r="F147" i="28" s="1"/>
  <c r="H147" i="28" s="1"/>
  <c r="H152" i="46"/>
  <c r="D153" i="46"/>
  <c r="B153" i="46" s="1"/>
  <c r="G152" i="46"/>
  <c r="I152" i="46" s="1"/>
  <c r="E152" i="4"/>
  <c r="E143" i="40"/>
  <c r="E152" i="3"/>
  <c r="F152" i="3" s="1"/>
  <c r="H152" i="3" s="1"/>
  <c r="E151" i="22"/>
  <c r="F151" i="22" s="1"/>
  <c r="H151" i="22" s="1"/>
  <c r="E151" i="25"/>
  <c r="F151" i="25" s="1"/>
  <c r="H151" i="25" s="1"/>
  <c r="B149" i="41"/>
  <c r="E147" i="31"/>
  <c r="F147" i="31" s="1"/>
  <c r="H147" i="31" s="1"/>
  <c r="E144" i="37"/>
  <c r="F144" i="37" s="1"/>
  <c r="H144" i="37" s="1"/>
  <c r="E149" i="24"/>
  <c r="F149" i="24" s="1"/>
  <c r="H149" i="24" s="1"/>
  <c r="G152" i="44"/>
  <c r="I152" i="44" s="1"/>
  <c r="D153" i="44"/>
  <c r="E149" i="41"/>
  <c r="F149" i="41" s="1"/>
  <c r="G149" i="41" s="1"/>
  <c r="I149" i="41" s="1"/>
  <c r="D151" i="38"/>
  <c r="G150" i="38"/>
  <c r="I150" i="38" s="1"/>
  <c r="E149" i="42"/>
  <c r="F149" i="42" s="1"/>
  <c r="H149" i="42" s="1"/>
  <c r="B149" i="42"/>
  <c r="B143" i="40"/>
  <c r="F143" i="40"/>
  <c r="H143" i="40" s="1"/>
  <c r="I151" i="3"/>
  <c r="J154" i="7"/>
  <c r="J155" i="7" s="1"/>
  <c r="I155" i="7"/>
  <c r="J154" i="10"/>
  <c r="J155" i="10" s="1"/>
  <c r="I155" i="10"/>
  <c r="B151" i="22"/>
  <c r="B146" i="30"/>
  <c r="B154" i="9"/>
  <c r="B144" i="43"/>
  <c r="F144" i="43"/>
  <c r="H144" i="43" s="1"/>
  <c r="B147" i="28"/>
  <c r="B149" i="24"/>
  <c r="B154" i="11"/>
  <c r="F154" i="11"/>
  <c r="G154" i="11" s="1"/>
  <c r="B148" i="27"/>
  <c r="F148" i="27"/>
  <c r="H148" i="27" s="1"/>
  <c r="B147" i="29"/>
  <c r="F147" i="29"/>
  <c r="H147" i="29" s="1"/>
  <c r="B152" i="5"/>
  <c r="B152" i="4"/>
  <c r="F152" i="4"/>
  <c r="H152" i="4" s="1"/>
  <c r="B151" i="25"/>
  <c r="B147" i="31"/>
  <c r="B144" i="39"/>
  <c r="B152" i="3"/>
  <c r="B153" i="6"/>
  <c r="E154" i="9"/>
  <c r="E155" i="9" s="1"/>
  <c r="B144" i="37"/>
  <c r="I151" i="5"/>
  <c r="B153" i="8"/>
  <c r="I151" i="4"/>
  <c r="B150" i="23"/>
  <c r="B152" i="45" l="1"/>
  <c r="E152" i="45"/>
  <c r="F152" i="45" s="1"/>
  <c r="E153" i="46"/>
  <c r="F153" i="46" s="1"/>
  <c r="H149" i="41"/>
  <c r="D150" i="41"/>
  <c r="E153" i="44"/>
  <c r="F153" i="44" s="1"/>
  <c r="H153" i="44" s="1"/>
  <c r="B153" i="44"/>
  <c r="G149" i="42"/>
  <c r="I149" i="42" s="1"/>
  <c r="D150" i="42"/>
  <c r="E151" i="38"/>
  <c r="F151" i="38" s="1"/>
  <c r="H151" i="38" s="1"/>
  <c r="B151" i="38"/>
  <c r="J151" i="3"/>
  <c r="J146" i="29"/>
  <c r="J146" i="28"/>
  <c r="J152" i="6"/>
  <c r="J152" i="8"/>
  <c r="J151" i="4"/>
  <c r="J151" i="5"/>
  <c r="J145" i="30"/>
  <c r="D154" i="8"/>
  <c r="E154" i="8" s="1"/>
  <c r="E155" i="8" s="1"/>
  <c r="G153" i="8"/>
  <c r="I153" i="8" s="1"/>
  <c r="J147" i="27"/>
  <c r="G144" i="39"/>
  <c r="I144" i="39" s="1"/>
  <c r="D145" i="39"/>
  <c r="G151" i="25"/>
  <c r="I151" i="25" s="1"/>
  <c r="D152" i="25"/>
  <c r="G152" i="5"/>
  <c r="D153" i="5"/>
  <c r="G147" i="29"/>
  <c r="I147" i="29" s="1"/>
  <c r="D148" i="29"/>
  <c r="H154" i="11"/>
  <c r="H155" i="11" s="1"/>
  <c r="I154" i="11"/>
  <c r="I155" i="11" s="1"/>
  <c r="G149" i="24"/>
  <c r="I149" i="24" s="1"/>
  <c r="D150" i="24"/>
  <c r="G144" i="43"/>
  <c r="I144" i="43" s="1"/>
  <c r="D145" i="43"/>
  <c r="G146" i="30"/>
  <c r="I146" i="30" s="1"/>
  <c r="D147" i="30"/>
  <c r="G151" i="22"/>
  <c r="I151" i="22" s="1"/>
  <c r="D152" i="22"/>
  <c r="D154" i="6"/>
  <c r="G153" i="6"/>
  <c r="I153" i="6" s="1"/>
  <c r="G152" i="3"/>
  <c r="D153" i="3"/>
  <c r="J146" i="31"/>
  <c r="G147" i="31"/>
  <c r="I147" i="31" s="1"/>
  <c r="D148" i="31"/>
  <c r="G152" i="4"/>
  <c r="D153" i="4"/>
  <c r="G148" i="27"/>
  <c r="I148" i="27" s="1"/>
  <c r="D149" i="27"/>
  <c r="G147" i="28"/>
  <c r="I147" i="28" s="1"/>
  <c r="D148" i="28"/>
  <c r="F154" i="9"/>
  <c r="G154" i="9" s="1"/>
  <c r="G143" i="40"/>
  <c r="I143" i="40" s="1"/>
  <c r="D144" i="40"/>
  <c r="D151" i="23"/>
  <c r="G150" i="23"/>
  <c r="I150" i="23" s="1"/>
  <c r="G144" i="37"/>
  <c r="I144" i="37" s="1"/>
  <c r="D145" i="37"/>
  <c r="G152" i="45" l="1"/>
  <c r="I152" i="45" s="1"/>
  <c r="D153" i="45"/>
  <c r="E153" i="45" s="1"/>
  <c r="F153" i="45" s="1"/>
  <c r="H152" i="45"/>
  <c r="E153" i="4"/>
  <c r="F153" i="4" s="1"/>
  <c r="H153" i="4" s="1"/>
  <c r="E144" i="40"/>
  <c r="F144" i="40" s="1"/>
  <c r="H144" i="40" s="1"/>
  <c r="E145" i="43"/>
  <c r="E153" i="5"/>
  <c r="F153" i="5" s="1"/>
  <c r="H153" i="5" s="1"/>
  <c r="E145" i="39"/>
  <c r="F145" i="39" s="1"/>
  <c r="H145" i="39" s="1"/>
  <c r="E151" i="23"/>
  <c r="E154" i="6"/>
  <c r="E155" i="6" s="1"/>
  <c r="E153" i="3"/>
  <c r="E149" i="27"/>
  <c r="F149" i="27" s="1"/>
  <c r="H149" i="27" s="1"/>
  <c r="E148" i="28"/>
  <c r="B150" i="42"/>
  <c r="E152" i="22"/>
  <c r="F152" i="22" s="1"/>
  <c r="H152" i="22" s="1"/>
  <c r="E147" i="30"/>
  <c r="F147" i="30" s="1"/>
  <c r="H147" i="30" s="1"/>
  <c r="E148" i="29"/>
  <c r="F148" i="29" s="1"/>
  <c r="H148" i="29" s="1"/>
  <c r="E152" i="25"/>
  <c r="H153" i="46"/>
  <c r="D154" i="46"/>
  <c r="G153" i="46"/>
  <c r="I153" i="46" s="1"/>
  <c r="B150" i="41"/>
  <c r="E148" i="31"/>
  <c r="F148" i="31" s="1"/>
  <c r="H148" i="31" s="1"/>
  <c r="E145" i="37"/>
  <c r="F145" i="37" s="1"/>
  <c r="H145" i="37" s="1"/>
  <c r="E150" i="24"/>
  <c r="F150" i="24" s="1"/>
  <c r="H150" i="24" s="1"/>
  <c r="D154" i="44"/>
  <c r="G153" i="44"/>
  <c r="I153" i="44" s="1"/>
  <c r="E150" i="41"/>
  <c r="F150" i="41" s="1"/>
  <c r="H150" i="41" s="1"/>
  <c r="E150" i="42"/>
  <c r="F150" i="42" s="1"/>
  <c r="D151" i="42" s="1"/>
  <c r="D152" i="38"/>
  <c r="G151" i="38"/>
  <c r="I151" i="38" s="1"/>
  <c r="B144" i="40"/>
  <c r="B148" i="28"/>
  <c r="F148" i="28"/>
  <c r="H148" i="28" s="1"/>
  <c r="B150" i="24"/>
  <c r="B153" i="5"/>
  <c r="B148" i="31"/>
  <c r="B153" i="3"/>
  <c r="F153" i="3"/>
  <c r="H153" i="3" s="1"/>
  <c r="B154" i="6"/>
  <c r="B145" i="43"/>
  <c r="F145" i="43"/>
  <c r="H145" i="43" s="1"/>
  <c r="B148" i="29"/>
  <c r="I152" i="5"/>
  <c r="B151" i="23"/>
  <c r="F151" i="23"/>
  <c r="H151" i="23" s="1"/>
  <c r="H154" i="9"/>
  <c r="H155" i="9" s="1"/>
  <c r="I154" i="9"/>
  <c r="I155" i="9" s="1"/>
  <c r="B153" i="4"/>
  <c r="I152" i="3"/>
  <c r="B147" i="30"/>
  <c r="B145" i="39"/>
  <c r="B145" i="37"/>
  <c r="B149" i="27"/>
  <c r="I152" i="4"/>
  <c r="B152" i="22"/>
  <c r="B152" i="25"/>
  <c r="F152" i="25"/>
  <c r="H152" i="25" s="1"/>
  <c r="B154" i="8"/>
  <c r="F154" i="8"/>
  <c r="G154" i="8" s="1"/>
  <c r="F154" i="6" l="1"/>
  <c r="G154" i="6" s="1"/>
  <c r="G153" i="45"/>
  <c r="I153" i="45" s="1"/>
  <c r="D154" i="45"/>
  <c r="B153" i="45"/>
  <c r="H153" i="45"/>
  <c r="E154" i="46"/>
  <c r="E155" i="46" s="1"/>
  <c r="B154" i="46"/>
  <c r="H150" i="42"/>
  <c r="H154" i="6"/>
  <c r="H155" i="6" s="1"/>
  <c r="G150" i="42"/>
  <c r="I150" i="42" s="1"/>
  <c r="D151" i="41"/>
  <c r="G150" i="41"/>
  <c r="I150" i="41" s="1"/>
  <c r="E154" i="44"/>
  <c r="E155" i="44" s="1"/>
  <c r="B154" i="44"/>
  <c r="E151" i="42"/>
  <c r="F151" i="42" s="1"/>
  <c r="H151" i="42" s="1"/>
  <c r="B151" i="42"/>
  <c r="E152" i="38"/>
  <c r="F152" i="38" s="1"/>
  <c r="H152" i="38" s="1"/>
  <c r="B152" i="38"/>
  <c r="J148" i="27"/>
  <c r="J146" i="30"/>
  <c r="J152" i="4"/>
  <c r="J153" i="8"/>
  <c r="J147" i="29"/>
  <c r="G147" i="30"/>
  <c r="I147" i="30" s="1"/>
  <c r="D148" i="30"/>
  <c r="J147" i="31"/>
  <c r="J152" i="5"/>
  <c r="I154" i="6"/>
  <c r="D149" i="31"/>
  <c r="G148" i="31"/>
  <c r="I148" i="31" s="1"/>
  <c r="G150" i="24"/>
  <c r="I150" i="24" s="1"/>
  <c r="D151" i="24"/>
  <c r="J153" i="6"/>
  <c r="G148" i="28"/>
  <c r="I148" i="28" s="1"/>
  <c r="D149" i="28"/>
  <c r="H154" i="8"/>
  <c r="H155" i="8" s="1"/>
  <c r="I154" i="8"/>
  <c r="G152" i="25"/>
  <c r="I152" i="25" s="1"/>
  <c r="D153" i="25"/>
  <c r="G152" i="22"/>
  <c r="I152" i="22" s="1"/>
  <c r="D153" i="22"/>
  <c r="D150" i="27"/>
  <c r="G149" i="27"/>
  <c r="I149" i="27" s="1"/>
  <c r="G145" i="37"/>
  <c r="I145" i="37" s="1"/>
  <c r="D146" i="37"/>
  <c r="G145" i="39"/>
  <c r="I145" i="39" s="1"/>
  <c r="D146" i="39"/>
  <c r="J152" i="3"/>
  <c r="G153" i="4"/>
  <c r="D154" i="4"/>
  <c r="G151" i="23"/>
  <c r="I151" i="23" s="1"/>
  <c r="D152" i="23"/>
  <c r="G148" i="29"/>
  <c r="I148" i="29" s="1"/>
  <c r="D149" i="29"/>
  <c r="G145" i="43"/>
  <c r="I145" i="43" s="1"/>
  <c r="D146" i="43"/>
  <c r="G153" i="3"/>
  <c r="D154" i="3"/>
  <c r="G153" i="5"/>
  <c r="D154" i="5"/>
  <c r="G144" i="40"/>
  <c r="I144" i="40" s="1"/>
  <c r="D145" i="40"/>
  <c r="J147" i="28"/>
  <c r="E154" i="45" l="1"/>
  <c r="E155" i="45" s="1"/>
  <c r="B154" i="45"/>
  <c r="F154" i="45"/>
  <c r="G154" i="45" s="1"/>
  <c r="F154" i="46"/>
  <c r="G154" i="46" s="1"/>
  <c r="I154" i="46" s="1"/>
  <c r="I155" i="46" s="1"/>
  <c r="E149" i="29"/>
  <c r="E154" i="3"/>
  <c r="E155" i="3" s="1"/>
  <c r="E150" i="27"/>
  <c r="F150" i="27" s="1"/>
  <c r="H150" i="27" s="1"/>
  <c r="E153" i="22"/>
  <c r="F153" i="22" s="1"/>
  <c r="H153" i="22" s="1"/>
  <c r="E152" i="23"/>
  <c r="E148" i="30"/>
  <c r="E145" i="40"/>
  <c r="F145" i="40" s="1"/>
  <c r="H145" i="40" s="1"/>
  <c r="E154" i="4"/>
  <c r="E155" i="4" s="1"/>
  <c r="E154" i="5"/>
  <c r="E155" i="5" s="1"/>
  <c r="E146" i="43"/>
  <c r="F146" i="43" s="1"/>
  <c r="H146" i="43" s="1"/>
  <c r="E146" i="39"/>
  <c r="F146" i="39" s="1"/>
  <c r="H146" i="39" s="1"/>
  <c r="E153" i="25"/>
  <c r="F153" i="25" s="1"/>
  <c r="H153" i="25" s="1"/>
  <c r="E149" i="28"/>
  <c r="F149" i="28" s="1"/>
  <c r="H149" i="28" s="1"/>
  <c r="E151" i="41"/>
  <c r="F151" i="41" s="1"/>
  <c r="H151" i="41" s="1"/>
  <c r="E149" i="31"/>
  <c r="F149" i="31" s="1"/>
  <c r="H149" i="31" s="1"/>
  <c r="E146" i="37"/>
  <c r="F146" i="37" s="1"/>
  <c r="H146" i="37" s="1"/>
  <c r="E151" i="24"/>
  <c r="F154" i="44"/>
  <c r="G154" i="44" s="1"/>
  <c r="H154" i="44" s="1"/>
  <c r="H155" i="44" s="1"/>
  <c r="B151" i="41"/>
  <c r="G151" i="42"/>
  <c r="I151" i="42" s="1"/>
  <c r="D152" i="42"/>
  <c r="D153" i="38"/>
  <c r="G152" i="38"/>
  <c r="I152" i="38" s="1"/>
  <c r="B154" i="3"/>
  <c r="B154" i="4"/>
  <c r="B146" i="39"/>
  <c r="B153" i="25"/>
  <c r="I153" i="3"/>
  <c r="F152" i="23"/>
  <c r="H152" i="23" s="1"/>
  <c r="B152" i="23"/>
  <c r="I153" i="4"/>
  <c r="B153" i="22"/>
  <c r="B149" i="28"/>
  <c r="B151" i="24"/>
  <c r="F151" i="24"/>
  <c r="H151" i="24" s="1"/>
  <c r="B149" i="31"/>
  <c r="B154" i="5"/>
  <c r="F154" i="5"/>
  <c r="G154" i="5" s="1"/>
  <c r="B145" i="40"/>
  <c r="I153" i="5"/>
  <c r="B149" i="29"/>
  <c r="F149" i="29"/>
  <c r="H149" i="29" s="1"/>
  <c r="J154" i="8"/>
  <c r="J155" i="8" s="1"/>
  <c r="I155" i="8"/>
  <c r="J154" i="6"/>
  <c r="J155" i="6" s="1"/>
  <c r="I155" i="6"/>
  <c r="B146" i="43"/>
  <c r="B146" i="37"/>
  <c r="B150" i="27"/>
  <c r="B148" i="30"/>
  <c r="F148" i="30"/>
  <c r="H148" i="30" s="1"/>
  <c r="F154" i="3" l="1"/>
  <c r="G154" i="3" s="1"/>
  <c r="F154" i="4"/>
  <c r="G154" i="4" s="1"/>
  <c r="H154" i="46"/>
  <c r="H155" i="46" s="1"/>
  <c r="H154" i="45"/>
  <c r="H155" i="45" s="1"/>
  <c r="I154" i="45"/>
  <c r="I155" i="45" s="1"/>
  <c r="H154" i="5"/>
  <c r="H155" i="5" s="1"/>
  <c r="H154" i="3"/>
  <c r="H155" i="3" s="1"/>
  <c r="H154" i="4"/>
  <c r="H155" i="4" s="1"/>
  <c r="B153" i="38"/>
  <c r="I154" i="44"/>
  <c r="I155" i="44" s="1"/>
  <c r="D152" i="41"/>
  <c r="G151" i="41"/>
  <c r="I151" i="41" s="1"/>
  <c r="E152" i="42"/>
  <c r="F152" i="42" s="1"/>
  <c r="H152" i="42" s="1"/>
  <c r="B152" i="42"/>
  <c r="E153" i="38"/>
  <c r="F153" i="38" s="1"/>
  <c r="H153" i="38" s="1"/>
  <c r="J153" i="4"/>
  <c r="J153" i="5"/>
  <c r="J153" i="3"/>
  <c r="J148" i="31"/>
  <c r="J148" i="29"/>
  <c r="D151" i="27"/>
  <c r="G150" i="27"/>
  <c r="I150" i="27" s="1"/>
  <c r="G148" i="30"/>
  <c r="I148" i="30" s="1"/>
  <c r="D149" i="30"/>
  <c r="G146" i="37"/>
  <c r="I146" i="37" s="1"/>
  <c r="D147" i="37"/>
  <c r="G146" i="43"/>
  <c r="I146" i="43" s="1"/>
  <c r="D147" i="43"/>
  <c r="J149" i="27"/>
  <c r="G149" i="29"/>
  <c r="I149" i="29" s="1"/>
  <c r="D150" i="29"/>
  <c r="G145" i="40"/>
  <c r="I145" i="40" s="1"/>
  <c r="D146" i="40"/>
  <c r="G151" i="24"/>
  <c r="I151" i="24" s="1"/>
  <c r="D152" i="24"/>
  <c r="J147" i="30"/>
  <c r="G153" i="25"/>
  <c r="I153" i="25" s="1"/>
  <c r="D154" i="25"/>
  <c r="E154" i="25" s="1"/>
  <c r="E155" i="25" s="1"/>
  <c r="G146" i="39"/>
  <c r="I146" i="39" s="1"/>
  <c r="D147" i="39"/>
  <c r="D153" i="23"/>
  <c r="G152" i="23"/>
  <c r="I152" i="23" s="1"/>
  <c r="I154" i="5"/>
  <c r="G149" i="31"/>
  <c r="I149" i="31" s="1"/>
  <c r="D150" i="31"/>
  <c r="D150" i="28"/>
  <c r="G149" i="28"/>
  <c r="I149" i="28" s="1"/>
  <c r="G153" i="22"/>
  <c r="I153" i="22" s="1"/>
  <c r="D154" i="22"/>
  <c r="E154" i="22" s="1"/>
  <c r="E155" i="22" s="1"/>
  <c r="I154" i="4"/>
  <c r="I154" i="3"/>
  <c r="J148" i="28"/>
  <c r="E146" i="40" l="1"/>
  <c r="E151" i="27"/>
  <c r="E153" i="23"/>
  <c r="E147" i="39"/>
  <c r="F147" i="39" s="1"/>
  <c r="H147" i="39" s="1"/>
  <c r="E147" i="43"/>
  <c r="E149" i="30"/>
  <c r="E150" i="28"/>
  <c r="E150" i="29"/>
  <c r="F150" i="29" s="1"/>
  <c r="H150" i="29" s="1"/>
  <c r="E150" i="31"/>
  <c r="E147" i="37"/>
  <c r="E152" i="24"/>
  <c r="F152" i="24" s="1"/>
  <c r="H152" i="24" s="1"/>
  <c r="E152" i="41"/>
  <c r="F152" i="41" s="1"/>
  <c r="H152" i="41" s="1"/>
  <c r="B152" i="41"/>
  <c r="D153" i="42"/>
  <c r="G152" i="42"/>
  <c r="I152" i="42" s="1"/>
  <c r="G153" i="38"/>
  <c r="I153" i="38" s="1"/>
  <c r="D154" i="38"/>
  <c r="B150" i="31"/>
  <c r="F150" i="31"/>
  <c r="H150" i="31" s="1"/>
  <c r="B147" i="39"/>
  <c r="B147" i="37"/>
  <c r="F147" i="37"/>
  <c r="H147" i="37" s="1"/>
  <c r="J154" i="3"/>
  <c r="J155" i="3" s="1"/>
  <c r="I155" i="3"/>
  <c r="B150" i="29"/>
  <c r="B147" i="43"/>
  <c r="F147" i="43"/>
  <c r="H147" i="43" s="1"/>
  <c r="B154" i="22"/>
  <c r="F154" i="22"/>
  <c r="G154" i="22" s="1"/>
  <c r="B150" i="28"/>
  <c r="F150" i="28"/>
  <c r="H150" i="28" s="1"/>
  <c r="J154" i="5"/>
  <c r="J155" i="5" s="1"/>
  <c r="I155" i="5"/>
  <c r="B153" i="23"/>
  <c r="F153" i="23"/>
  <c r="H153" i="23" s="1"/>
  <c r="B146" i="40"/>
  <c r="F146" i="40"/>
  <c r="H146" i="40" s="1"/>
  <c r="J154" i="4"/>
  <c r="J155" i="4" s="1"/>
  <c r="I155" i="4"/>
  <c r="B154" i="25"/>
  <c r="F154" i="25"/>
  <c r="G154" i="25" s="1"/>
  <c r="B152" i="24"/>
  <c r="B149" i="30"/>
  <c r="F149" i="30"/>
  <c r="H149" i="30" s="1"/>
  <c r="B151" i="27"/>
  <c r="F151" i="27"/>
  <c r="H151" i="27" s="1"/>
  <c r="G152" i="41" l="1"/>
  <c r="I152" i="41" s="1"/>
  <c r="D153" i="41"/>
  <c r="E154" i="38"/>
  <c r="E155" i="38" s="1"/>
  <c r="B154" i="38"/>
  <c r="E153" i="42"/>
  <c r="F153" i="42" s="1"/>
  <c r="H153" i="42" s="1"/>
  <c r="B153" i="42"/>
  <c r="J149" i="28"/>
  <c r="J149" i="31"/>
  <c r="G152" i="24"/>
  <c r="I152" i="24" s="1"/>
  <c r="D153" i="24"/>
  <c r="G146" i="40"/>
  <c r="I146" i="40" s="1"/>
  <c r="D147" i="40"/>
  <c r="H154" i="22"/>
  <c r="H155" i="22" s="1"/>
  <c r="I154" i="22"/>
  <c r="I155" i="22" s="1"/>
  <c r="G147" i="43"/>
  <c r="I147" i="43" s="1"/>
  <c r="D148" i="43"/>
  <c r="J148" i="30"/>
  <c r="G147" i="39"/>
  <c r="I147" i="39" s="1"/>
  <c r="D148" i="39"/>
  <c r="D152" i="27"/>
  <c r="G151" i="27"/>
  <c r="I151" i="27" s="1"/>
  <c r="I154" i="25"/>
  <c r="I155" i="25" s="1"/>
  <c r="H154" i="25"/>
  <c r="H155" i="25" s="1"/>
  <c r="J150" i="27"/>
  <c r="J149" i="29"/>
  <c r="G153" i="23"/>
  <c r="I153" i="23" s="1"/>
  <c r="D154" i="23"/>
  <c r="G150" i="28"/>
  <c r="I150" i="28" s="1"/>
  <c r="D151" i="28"/>
  <c r="G150" i="29"/>
  <c r="I150" i="29" s="1"/>
  <c r="D151" i="29"/>
  <c r="G147" i="37"/>
  <c r="I147" i="37" s="1"/>
  <c r="D148" i="37"/>
  <c r="G150" i="31"/>
  <c r="I150" i="31" s="1"/>
  <c r="D151" i="31"/>
  <c r="G149" i="30"/>
  <c r="I149" i="30" s="1"/>
  <c r="D150" i="30"/>
  <c r="E150" i="30" l="1"/>
  <c r="E151" i="28"/>
  <c r="E151" i="29"/>
  <c r="E148" i="39"/>
  <c r="F148" i="39" s="1"/>
  <c r="H148" i="39" s="1"/>
  <c r="E152" i="27"/>
  <c r="E148" i="43"/>
  <c r="F148" i="43" s="1"/>
  <c r="H148" i="43" s="1"/>
  <c r="E147" i="40"/>
  <c r="F147" i="40" s="1"/>
  <c r="H147" i="40" s="1"/>
  <c r="B153" i="41"/>
  <c r="E148" i="37"/>
  <c r="E153" i="24"/>
  <c r="F153" i="24" s="1"/>
  <c r="H153" i="24" s="1"/>
  <c r="E153" i="41"/>
  <c r="F153" i="41" s="1"/>
  <c r="D154" i="41" s="1"/>
  <c r="E154" i="41" s="1"/>
  <c r="E155" i="41" s="1"/>
  <c r="F154" i="38"/>
  <c r="G154" i="38" s="1"/>
  <c r="H154" i="38" s="1"/>
  <c r="H155" i="38" s="1"/>
  <c r="D154" i="42"/>
  <c r="G153" i="42"/>
  <c r="I153" i="42" s="1"/>
  <c r="B154" i="23"/>
  <c r="B152" i="27"/>
  <c r="F152" i="27"/>
  <c r="H152" i="27" s="1"/>
  <c r="B151" i="28"/>
  <c r="F151" i="28"/>
  <c r="H151" i="28" s="1"/>
  <c r="B150" i="30"/>
  <c r="F150" i="30"/>
  <c r="H150" i="30" s="1"/>
  <c r="B148" i="39"/>
  <c r="B148" i="43"/>
  <c r="B153" i="24"/>
  <c r="B151" i="31"/>
  <c r="B151" i="29"/>
  <c r="F151" i="29"/>
  <c r="H151" i="29" s="1"/>
  <c r="E151" i="31"/>
  <c r="F151" i="31" s="1"/>
  <c r="H151" i="31" s="1"/>
  <c r="B148" i="37"/>
  <c r="F148" i="37"/>
  <c r="H148" i="37" s="1"/>
  <c r="E154" i="23"/>
  <c r="E155" i="23" s="1"/>
  <c r="B147" i="40"/>
  <c r="H153" i="41" l="1"/>
  <c r="I154" i="38"/>
  <c r="I155" i="38" s="1"/>
  <c r="G153" i="41"/>
  <c r="I153" i="41" s="1"/>
  <c r="F154" i="41"/>
  <c r="G154" i="41" s="1"/>
  <c r="H154" i="41" s="1"/>
  <c r="B154" i="41"/>
  <c r="E154" i="42"/>
  <c r="E155" i="42" s="1"/>
  <c r="B154" i="42"/>
  <c r="J151" i="27"/>
  <c r="J149" i="30"/>
  <c r="J150" i="31"/>
  <c r="G151" i="31"/>
  <c r="I151" i="31" s="1"/>
  <c r="D152" i="31"/>
  <c r="G148" i="43"/>
  <c r="I148" i="43" s="1"/>
  <c r="D149" i="43"/>
  <c r="J150" i="28"/>
  <c r="G150" i="30"/>
  <c r="I150" i="30" s="1"/>
  <c r="D151" i="30"/>
  <c r="G151" i="28"/>
  <c r="I151" i="28" s="1"/>
  <c r="D152" i="28"/>
  <c r="F154" i="23"/>
  <c r="G154" i="23" s="1"/>
  <c r="G147" i="40"/>
  <c r="I147" i="40" s="1"/>
  <c r="D148" i="40"/>
  <c r="J150" i="29"/>
  <c r="G151" i="29"/>
  <c r="I151" i="29" s="1"/>
  <c r="D152" i="29"/>
  <c r="G153" i="24"/>
  <c r="I153" i="24" s="1"/>
  <c r="D154" i="24"/>
  <c r="E154" i="24" s="1"/>
  <c r="E155" i="24" s="1"/>
  <c r="G148" i="39"/>
  <c r="I148" i="39" s="1"/>
  <c r="D149" i="39"/>
  <c r="G152" i="27"/>
  <c r="I152" i="27" s="1"/>
  <c r="D153" i="27"/>
  <c r="G148" i="37"/>
  <c r="I148" i="37" s="1"/>
  <c r="D149" i="37"/>
  <c r="E152" i="29" l="1"/>
  <c r="E151" i="30"/>
  <c r="E152" i="28"/>
  <c r="F152" i="28" s="1"/>
  <c r="H152" i="28" s="1"/>
  <c r="E149" i="39"/>
  <c r="E148" i="40"/>
  <c r="E149" i="43"/>
  <c r="F149" i="43" s="1"/>
  <c r="H149" i="43" s="1"/>
  <c r="I154" i="41"/>
  <c r="E152" i="31"/>
  <c r="E149" i="37"/>
  <c r="H155" i="41"/>
  <c r="I155" i="41"/>
  <c r="F154" i="42"/>
  <c r="G154" i="42" s="1"/>
  <c r="I154" i="42" s="1"/>
  <c r="I155" i="42" s="1"/>
  <c r="B153" i="27"/>
  <c r="F152" i="29"/>
  <c r="H152" i="29" s="1"/>
  <c r="B152" i="29"/>
  <c r="B148" i="40"/>
  <c r="F148" i="40"/>
  <c r="H148" i="40" s="1"/>
  <c r="B152" i="28"/>
  <c r="E153" i="27"/>
  <c r="F153" i="27" s="1"/>
  <c r="B149" i="37"/>
  <c r="F149" i="37"/>
  <c r="H149" i="37" s="1"/>
  <c r="B154" i="24"/>
  <c r="F154" i="24"/>
  <c r="G154" i="24" s="1"/>
  <c r="F149" i="39"/>
  <c r="H149" i="39" s="1"/>
  <c r="B149" i="39"/>
  <c r="I154" i="23"/>
  <c r="I155" i="23" s="1"/>
  <c r="H154" i="23"/>
  <c r="H155" i="23" s="1"/>
  <c r="F152" i="31"/>
  <c r="H152" i="31" s="1"/>
  <c r="B152" i="31"/>
  <c r="B151" i="30"/>
  <c r="F151" i="30"/>
  <c r="H151" i="30" s="1"/>
  <c r="B149" i="43"/>
  <c r="H154" i="42" l="1"/>
  <c r="H155" i="42" s="1"/>
  <c r="J151" i="29"/>
  <c r="J151" i="31"/>
  <c r="J150" i="30"/>
  <c r="G153" i="27"/>
  <c r="D154" i="27"/>
  <c r="E154" i="27" s="1"/>
  <c r="E155" i="27" s="1"/>
  <c r="G152" i="31"/>
  <c r="I152" i="31" s="1"/>
  <c r="D153" i="31"/>
  <c r="J151" i="28"/>
  <c r="G152" i="28"/>
  <c r="I152" i="28" s="1"/>
  <c r="D153" i="28"/>
  <c r="G151" i="30"/>
  <c r="I151" i="30" s="1"/>
  <c r="D152" i="30"/>
  <c r="I154" i="24"/>
  <c r="I155" i="24" s="1"/>
  <c r="H154" i="24"/>
  <c r="H155" i="24" s="1"/>
  <c r="G149" i="37"/>
  <c r="I149" i="37" s="1"/>
  <c r="D150" i="37"/>
  <c r="G152" i="29"/>
  <c r="I152" i="29" s="1"/>
  <c r="D153" i="29"/>
  <c r="G149" i="39"/>
  <c r="I149" i="39" s="1"/>
  <c r="D150" i="39"/>
  <c r="G148" i="40"/>
  <c r="I148" i="40" s="1"/>
  <c r="D149" i="40"/>
  <c r="G149" i="43"/>
  <c r="I149" i="43" s="1"/>
  <c r="D150" i="43"/>
  <c r="J152" i="27"/>
  <c r="E149" i="40" l="1"/>
  <c r="E153" i="28"/>
  <c r="F153" i="28" s="1"/>
  <c r="H153" i="28" s="1"/>
  <c r="E153" i="29"/>
  <c r="F153" i="29" s="1"/>
  <c r="H153" i="29" s="1"/>
  <c r="E150" i="43"/>
  <c r="F150" i="43" s="1"/>
  <c r="H150" i="43" s="1"/>
  <c r="E150" i="39"/>
  <c r="E152" i="30"/>
  <c r="F152" i="30" s="1"/>
  <c r="H152" i="30" s="1"/>
  <c r="E153" i="31"/>
  <c r="F153" i="31" s="1"/>
  <c r="H153" i="31" s="1"/>
  <c r="E150" i="37"/>
  <c r="F150" i="37" s="1"/>
  <c r="H150" i="37" s="1"/>
  <c r="B153" i="29"/>
  <c r="B152" i="30"/>
  <c r="B150" i="39"/>
  <c r="F150" i="39"/>
  <c r="H150" i="39" s="1"/>
  <c r="B149" i="40"/>
  <c r="F149" i="40"/>
  <c r="H149" i="40" s="1"/>
  <c r="B154" i="27"/>
  <c r="F154" i="27"/>
  <c r="G154" i="27" s="1"/>
  <c r="B150" i="43"/>
  <c r="B150" i="37"/>
  <c r="B153" i="28"/>
  <c r="B153" i="31"/>
  <c r="I153" i="27"/>
  <c r="H153" i="27"/>
  <c r="J152" i="28" l="1"/>
  <c r="J151" i="30"/>
  <c r="J153" i="27"/>
  <c r="G153" i="28"/>
  <c r="I153" i="28" s="1"/>
  <c r="D154" i="28"/>
  <c r="E154" i="28" s="1"/>
  <c r="E155" i="28" s="1"/>
  <c r="H154" i="27"/>
  <c r="H155" i="27" s="1"/>
  <c r="I154" i="27"/>
  <c r="D150" i="40"/>
  <c r="G149" i="40"/>
  <c r="I149" i="40" s="1"/>
  <c r="J152" i="29"/>
  <c r="J152" i="31"/>
  <c r="G152" i="30"/>
  <c r="I152" i="30" s="1"/>
  <c r="D153" i="30"/>
  <c r="G153" i="29"/>
  <c r="I153" i="29" s="1"/>
  <c r="D154" i="29"/>
  <c r="E154" i="29" s="1"/>
  <c r="E155" i="29" s="1"/>
  <c r="G153" i="31"/>
  <c r="I153" i="31" s="1"/>
  <c r="D154" i="31"/>
  <c r="E154" i="31" s="1"/>
  <c r="E155" i="31" s="1"/>
  <c r="G150" i="37"/>
  <c r="I150" i="37" s="1"/>
  <c r="D151" i="37"/>
  <c r="G150" i="43"/>
  <c r="I150" i="43" s="1"/>
  <c r="D151" i="43"/>
  <c r="G150" i="39"/>
  <c r="I150" i="39" s="1"/>
  <c r="D151" i="39"/>
  <c r="E151" i="39" l="1"/>
  <c r="F151" i="39" s="1"/>
  <c r="H151" i="39" s="1"/>
  <c r="E150" i="40"/>
  <c r="E151" i="37"/>
  <c r="F151" i="37" s="1"/>
  <c r="H151" i="37" s="1"/>
  <c r="B153" i="30"/>
  <c r="B151" i="39"/>
  <c r="B154" i="29"/>
  <c r="F154" i="29"/>
  <c r="G154" i="29" s="1"/>
  <c r="B151" i="43"/>
  <c r="B150" i="40"/>
  <c r="F150" i="40"/>
  <c r="H150" i="40" s="1"/>
  <c r="F154" i="28"/>
  <c r="G154" i="28" s="1"/>
  <c r="B154" i="28"/>
  <c r="B154" i="31"/>
  <c r="F154" i="31"/>
  <c r="G154" i="31" s="1"/>
  <c r="E151" i="43"/>
  <c r="F151" i="43" s="1"/>
  <c r="H151" i="43" s="1"/>
  <c r="B151" i="37"/>
  <c r="E153" i="30"/>
  <c r="F153" i="30" s="1"/>
  <c r="H153" i="30" s="1"/>
  <c r="J154" i="27"/>
  <c r="J155" i="27" s="1"/>
  <c r="I155" i="27"/>
  <c r="J153" i="31" l="1"/>
  <c r="G153" i="30"/>
  <c r="I153" i="30" s="1"/>
  <c r="D154" i="30"/>
  <c r="E154" i="30" s="1"/>
  <c r="E155" i="30" s="1"/>
  <c r="G151" i="43"/>
  <c r="I151" i="43" s="1"/>
  <c r="D152" i="43"/>
  <c r="J153" i="28"/>
  <c r="J153" i="29"/>
  <c r="H154" i="29"/>
  <c r="H155" i="29" s="1"/>
  <c r="I154" i="29"/>
  <c r="G151" i="39"/>
  <c r="I151" i="39" s="1"/>
  <c r="D152" i="39"/>
  <c r="H154" i="28"/>
  <c r="H155" i="28" s="1"/>
  <c r="I154" i="28"/>
  <c r="H154" i="31"/>
  <c r="H155" i="31" s="1"/>
  <c r="I154" i="31"/>
  <c r="G150" i="40"/>
  <c r="I150" i="40" s="1"/>
  <c r="D151" i="40"/>
  <c r="G151" i="37"/>
  <c r="I151" i="37" s="1"/>
  <c r="D152" i="37"/>
  <c r="J152" i="30"/>
  <c r="E151" i="40" l="1"/>
  <c r="F151" i="40" s="1"/>
  <c r="H151" i="40" s="1"/>
  <c r="E152" i="43"/>
  <c r="F152" i="43" s="1"/>
  <c r="H152" i="43" s="1"/>
  <c r="E152" i="37"/>
  <c r="F152" i="37" s="1"/>
  <c r="H152" i="37" s="1"/>
  <c r="B152" i="39"/>
  <c r="B151" i="40"/>
  <c r="J154" i="29"/>
  <c r="J155" i="29" s="1"/>
  <c r="I155" i="29"/>
  <c r="B154" i="30"/>
  <c r="F154" i="30"/>
  <c r="G154" i="30" s="1"/>
  <c r="J154" i="28"/>
  <c r="J155" i="28" s="1"/>
  <c r="I155" i="28"/>
  <c r="B152" i="37"/>
  <c r="J154" i="31"/>
  <c r="J155" i="31" s="1"/>
  <c r="I155" i="31"/>
  <c r="E152" i="39"/>
  <c r="F152" i="39" s="1"/>
  <c r="H152" i="39" s="1"/>
  <c r="B152" i="43"/>
  <c r="G152" i="37" l="1"/>
  <c r="I152" i="37" s="1"/>
  <c r="D153" i="37"/>
  <c r="H154" i="30"/>
  <c r="H155" i="30" s="1"/>
  <c r="I154" i="30"/>
  <c r="G152" i="43"/>
  <c r="I152" i="43" s="1"/>
  <c r="D153" i="43"/>
  <c r="J153" i="30"/>
  <c r="G151" i="40"/>
  <c r="I151" i="40" s="1"/>
  <c r="D152" i="40"/>
  <c r="G152" i="39"/>
  <c r="I152" i="39" s="1"/>
  <c r="D153" i="39"/>
  <c r="E153" i="39" l="1"/>
  <c r="E153" i="43"/>
  <c r="F153" i="43" s="1"/>
  <c r="H153" i="43" s="1"/>
  <c r="E153" i="37"/>
  <c r="F153" i="37" s="1"/>
  <c r="H153" i="37" s="1"/>
  <c r="B152" i="40"/>
  <c r="B153" i="43"/>
  <c r="E152" i="40"/>
  <c r="F152" i="40" s="1"/>
  <c r="H152" i="40" s="1"/>
  <c r="B153" i="37"/>
  <c r="B153" i="39"/>
  <c r="F153" i="39"/>
  <c r="H153" i="39" s="1"/>
  <c r="J154" i="30"/>
  <c r="J155" i="30" s="1"/>
  <c r="I155" i="30"/>
  <c r="D153" i="40" l="1"/>
  <c r="G152" i="40"/>
  <c r="I152" i="40" s="1"/>
  <c r="G153" i="43"/>
  <c r="I153" i="43" s="1"/>
  <c r="D154" i="43"/>
  <c r="E154" i="43" s="1"/>
  <c r="E155" i="43" s="1"/>
  <c r="D154" i="37"/>
  <c r="E154" i="37" s="1"/>
  <c r="E155" i="37" s="1"/>
  <c r="G153" i="37"/>
  <c r="I153" i="37" s="1"/>
  <c r="G153" i="39"/>
  <c r="I153" i="39" s="1"/>
  <c r="D154" i="39"/>
  <c r="E154" i="39" s="1"/>
  <c r="E155" i="39" s="1"/>
  <c r="E153" i="40" l="1"/>
  <c r="F153" i="40" s="1"/>
  <c r="H153" i="40" s="1"/>
  <c r="F154" i="37"/>
  <c r="G154" i="37" s="1"/>
  <c r="B154" i="37"/>
  <c r="B154" i="39"/>
  <c r="F154" i="39"/>
  <c r="G154" i="39" s="1"/>
  <c r="B154" i="43"/>
  <c r="F154" i="43"/>
  <c r="G154" i="43" s="1"/>
  <c r="B153" i="40"/>
  <c r="H154" i="39" l="1"/>
  <c r="H155" i="39" s="1"/>
  <c r="I154" i="39"/>
  <c r="I155" i="39" s="1"/>
  <c r="G153" i="40"/>
  <c r="I153" i="40" s="1"/>
  <c r="D154" i="40"/>
  <c r="I154" i="43"/>
  <c r="I155" i="43" s="1"/>
  <c r="H154" i="43"/>
  <c r="H155" i="43" s="1"/>
  <c r="H154" i="37"/>
  <c r="H155" i="37" s="1"/>
  <c r="I154" i="37"/>
  <c r="I155" i="37" s="1"/>
  <c r="B154" i="40" l="1"/>
  <c r="E154" i="40"/>
  <c r="E155" i="40" s="1"/>
  <c r="F154" i="40" l="1"/>
  <c r="G154" i="40" s="1"/>
  <c r="H154" i="40" s="1"/>
  <c r="H155" i="40" s="1"/>
  <c r="I154" i="40" l="1"/>
  <c r="I155" i="40" s="1"/>
  <c r="I48" i="17" l="1"/>
  <c r="K35" i="17" l="1"/>
  <c r="L35" i="17" s="1"/>
  <c r="V35" i="17" s="1"/>
  <c r="K41" i="17"/>
  <c r="L41" i="17" s="1"/>
  <c r="V41" i="17" s="1"/>
  <c r="K21" i="17"/>
  <c r="L21" i="17" s="1"/>
  <c r="V21" i="17" s="1"/>
  <c r="K20" i="17"/>
  <c r="L20" i="17" s="1"/>
  <c r="V20" i="17" s="1"/>
  <c r="K27" i="17"/>
  <c r="L27" i="17" s="1"/>
  <c r="V27" i="17" s="1"/>
  <c r="K43" i="17"/>
  <c r="L43" i="17" s="1"/>
  <c r="V43" i="17" s="1"/>
  <c r="K22" i="17"/>
  <c r="L22" i="17" s="1"/>
  <c r="V22" i="17" s="1"/>
  <c r="K37" i="17"/>
  <c r="L37" i="17" s="1"/>
  <c r="V37" i="17" s="1"/>
  <c r="K30" i="17"/>
  <c r="L30" i="17" s="1"/>
  <c r="V30" i="17" s="1"/>
  <c r="K28" i="17"/>
  <c r="L28" i="17" s="1"/>
  <c r="V28" i="17" s="1"/>
  <c r="K19" i="17"/>
  <c r="L19" i="17" s="1"/>
  <c r="V19" i="17" s="1"/>
  <c r="K32" i="17"/>
  <c r="L32" i="17" s="1"/>
  <c r="V32" i="17" s="1"/>
  <c r="K38" i="17"/>
  <c r="L38" i="17" s="1"/>
  <c r="V38" i="17" s="1"/>
  <c r="K25" i="17"/>
  <c r="L25" i="17" s="1"/>
  <c r="V25" i="17" s="1"/>
  <c r="K33" i="17"/>
  <c r="L33" i="17" s="1"/>
  <c r="V33" i="17" s="1"/>
  <c r="K31" i="17"/>
  <c r="L31" i="17" s="1"/>
  <c r="V31" i="17" s="1"/>
  <c r="K40" i="17"/>
  <c r="L40" i="17" s="1"/>
  <c r="V40" i="17" s="1"/>
  <c r="K29" i="17"/>
  <c r="L29" i="17" s="1"/>
  <c r="V29" i="17" s="1"/>
  <c r="K18" i="17"/>
  <c r="L18" i="17" s="1"/>
  <c r="K34" i="17"/>
  <c r="L34" i="17" s="1"/>
  <c r="V34" i="17" s="1"/>
  <c r="K44" i="17"/>
  <c r="L44" i="17" s="1"/>
  <c r="V44" i="17" s="1"/>
  <c r="K24" i="17"/>
  <c r="L24" i="17" s="1"/>
  <c r="V24" i="17" s="1"/>
  <c r="K26" i="17"/>
  <c r="L26" i="17" s="1"/>
  <c r="V26" i="17" s="1"/>
  <c r="K36" i="17"/>
  <c r="L36" i="17" s="1"/>
  <c r="V36" i="17" s="1"/>
  <c r="K23" i="17"/>
  <c r="L23" i="17" s="1"/>
  <c r="V23" i="17" s="1"/>
  <c r="K42" i="17" l="1"/>
  <c r="L42" i="17" s="1"/>
  <c r="V42" i="17" s="1"/>
  <c r="K39" i="17"/>
  <c r="L39" i="17" s="1"/>
  <c r="V39" i="17" s="1"/>
  <c r="K48" i="17"/>
  <c r="V18" i="17"/>
  <c r="V47" i="17" l="1"/>
  <c r="L47" i="17" l="1"/>
  <c r="Q45" i="17" l="1"/>
  <c r="R45" i="17" s="1"/>
  <c r="T45" i="17" s="1"/>
  <c r="Q44" i="17"/>
  <c r="R44" i="17" s="1"/>
  <c r="T44" i="17" s="1"/>
  <c r="Q36" i="17"/>
  <c r="R36" i="17" s="1"/>
  <c r="T36" i="17" s="1"/>
  <c r="Q32" i="17"/>
  <c r="R32" i="17" s="1"/>
  <c r="T32" i="17" s="1"/>
  <c r="Q31" i="17"/>
  <c r="R31" i="17" s="1"/>
  <c r="T31" i="17" s="1"/>
  <c r="Q27" i="17"/>
  <c r="R27" i="17" s="1"/>
  <c r="T27" i="17" s="1"/>
  <c r="Q42" i="17"/>
  <c r="R42" i="17" s="1"/>
  <c r="T42" i="17" s="1"/>
  <c r="Q18" i="17"/>
  <c r="R18" i="17" s="1"/>
  <c r="Q29" i="17"/>
  <c r="R29" i="17" s="1"/>
  <c r="T29" i="17" s="1"/>
  <c r="Q41" i="17"/>
  <c r="R41" i="17" s="1"/>
  <c r="T41" i="17" s="1"/>
  <c r="Q21" i="17"/>
  <c r="R21" i="17" s="1"/>
  <c r="T21" i="17" s="1"/>
  <c r="Q43" i="17"/>
  <c r="R43" i="17" s="1"/>
  <c r="T43" i="17" s="1"/>
  <c r="Q35" i="17"/>
  <c r="R35" i="17" s="1"/>
  <c r="T35" i="17" s="1"/>
  <c r="Q39" i="17"/>
  <c r="R39" i="17" s="1"/>
  <c r="T39" i="17" s="1"/>
  <c r="Q24" i="17"/>
  <c r="R24" i="17" s="1"/>
  <c r="T24" i="17" s="1"/>
  <c r="Q40" i="17"/>
  <c r="R40" i="17" s="1"/>
  <c r="T40" i="17" s="1"/>
  <c r="Q22" i="17"/>
  <c r="R22" i="17" s="1"/>
  <c r="T22" i="17" s="1"/>
  <c r="Q33" i="17"/>
  <c r="R33" i="17" s="1"/>
  <c r="T33" i="17" s="1"/>
  <c r="Q34" i="17"/>
  <c r="R34" i="17" s="1"/>
  <c r="T34" i="17" s="1"/>
  <c r="Q19" i="17"/>
  <c r="R19" i="17" s="1"/>
  <c r="T19" i="17" s="1"/>
  <c r="Q38" i="17"/>
  <c r="R38" i="17" s="1"/>
  <c r="T38" i="17" s="1"/>
  <c r="Q25" i="17"/>
  <c r="R25" i="17" s="1"/>
  <c r="T25" i="17" s="1"/>
  <c r="Q37" i="17"/>
  <c r="R37" i="17" s="1"/>
  <c r="T37" i="17" s="1"/>
  <c r="Q30" i="17"/>
  <c r="R30" i="17" s="1"/>
  <c r="T30" i="17" s="1"/>
  <c r="Q20" i="17"/>
  <c r="R20" i="17" s="1"/>
  <c r="T20" i="17" s="1"/>
  <c r="Q26" i="17"/>
  <c r="R26" i="17" s="1"/>
  <c r="T26" i="17" s="1"/>
  <c r="Q28" i="17"/>
  <c r="R28" i="17" s="1"/>
  <c r="T28" i="17" s="1"/>
  <c r="Q23" i="17"/>
  <c r="R23" i="17" s="1"/>
  <c r="T23" i="17" s="1"/>
  <c r="T18" i="17" l="1"/>
  <c r="T47" i="17" s="1"/>
  <c r="R47" i="17"/>
  <c r="Q48" i="17"/>
</calcChain>
</file>

<file path=xl/comments1.xml><?xml version="1.0" encoding="utf-8"?>
<comments xmlns="http://schemas.openxmlformats.org/spreadsheetml/2006/main">
  <authors>
    <author>R.Pennybaker</author>
    <author>AEP</author>
    <author>rlp</author>
    <author>S177040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47" authorId="2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47" authorId="3" shapeId="0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>
  <authors>
    <author>rlp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>
  <authors>
    <author>Mary Williamson</author>
    <author>rlp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>
  <authors>
    <author>rlp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>
  <authors>
    <author>rlp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>
  <authors>
    <author>AEP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<sst xmlns="http://schemas.openxmlformats.org/spreadsheetml/2006/main" count="3685" uniqueCount="351">
  <si>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</si>
  <si>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</si>
  <si>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</si>
  <si>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</si>
  <si>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</si>
  <si>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</si>
  <si>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</si>
  <si>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</si>
  <si>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</si>
  <si>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</si>
  <si>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</si>
  <si>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</si>
  <si>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</si>
  <si>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</si>
  <si>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</si>
  <si>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</si>
  <si>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</si>
  <si>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</si>
  <si>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</si>
  <si>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</si>
  <si>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</si>
  <si>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</si>
  <si>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</si>
  <si>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</si>
  <si>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</si>
  <si>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</si>
  <si>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</si>
  <si>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</si>
  <si>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</si>
  <si>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</si>
  <si>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</si>
  <si>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</si>
  <si>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</si>
  <si>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</si>
  <si>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</si>
  <si>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</si>
  <si>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</si>
  <si>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</si>
  <si>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</si>
  <si>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</si>
  <si>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</si>
  <si>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</si>
  <si>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</si>
  <si>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</si>
  <si>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</si>
  <si>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</si>
  <si>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</si>
  <si>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</si>
  <si>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</si>
  <si>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</si>
  <si>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</si>
  <si>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</si>
  <si>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</si>
  <si>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</si>
  <si>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</si>
  <si>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</si>
  <si>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</si>
  <si>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</si>
  <si>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</si>
  <si>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</si>
  <si>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</si>
  <si>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</si>
  <si>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</si>
  <si>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</si>
  <si>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</si>
  <si>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</si>
  <si>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</si>
  <si>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</si>
  <si>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</si>
  <si>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</si>
  <si>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</si>
  <si>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</si>
  <si>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</si>
  <si>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</si>
  <si>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</si>
  <si>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</si>
  <si>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</si>
  <si>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</si>
  <si>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</si>
  <si>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</si>
  <si>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</si>
  <si>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</si>
  <si>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</si>
  <si>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</si>
  <si>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</si>
  <si>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</si>
  <si>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</si>
  <si>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</si>
  <si>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</si>
  <si>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</si>
  <si>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</si>
  <si>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</si>
  <si>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</si>
  <si>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</si>
  <si>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</si>
  <si>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</si>
  <si>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</si>
  <si>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</si>
  <si>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</si>
  <si>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</si>
  <si>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</si>
  <si>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</si>
  <si>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</si>
  <si>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</si>
  <si>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</si>
  <si>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</si>
  <si>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</si>
  <si>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</si>
  <si>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</si>
  <si>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</si>
  <si>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</si>
  <si>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</si>
  <si>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</si>
  <si>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</si>
  <si>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</si>
  <si>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</si>
  <si>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</si>
  <si>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</si>
  <si>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</si>
  <si>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</si>
  <si>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</si>
  <si>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</si>
  <si>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</si>
  <si>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</si>
  <si>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</si>
  <si>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</si>
  <si>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</si>
  <si>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</si>
  <si>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</si>
  <si>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</si>
  <si>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</si>
  <si>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</si>
  <si>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</si>
  <si>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</si>
  <si>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</si>
  <si>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</si>
  <si>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</si>
  <si>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</si>
  <si>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</si>
  <si>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</si>
  <si>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</si>
  <si>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</si>
  <si>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</si>
  <si>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</si>
  <si>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</si>
  <si>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</si>
  <si>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</si>
  <si>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</si>
  <si>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</si>
  <si>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</si>
  <si>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</si>
  <si>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</si>
  <si>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</si>
  <si>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</si>
  <si>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</si>
  <si>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</si>
  <si>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</si>
  <si>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</si>
  <si>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</si>
  <si>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</si>
  <si>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</si>
  <si>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</si>
  <si>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</si>
  <si>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</si>
  <si>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</si>
  <si>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</si>
  <si>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</si>
  <si>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</si>
  <si>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</si>
  <si>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</si>
  <si>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</si>
  <si>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</si>
  <si>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</si>
  <si>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</si>
  <si>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</si>
  <si>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</si>
  <si>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</si>
  <si>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</si>
  <si>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</si>
  <si>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</si>
  <si>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</si>
  <si>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</si>
  <si>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</si>
  <si>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</si>
  <si>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</si>
  <si>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</si>
  <si>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</si>
  <si>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</si>
  <si>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</si>
  <si>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</si>
  <si>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</si>
  <si>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</si>
  <si>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</si>
  <si>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</si>
  <si>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</si>
  <si>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</si>
  <si>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</si>
  <si>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</si>
  <si>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</si>
  <si>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</si>
  <si>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</si>
  <si>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</si>
  <si>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</si>
  <si>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</si>
  <si>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</si>
  <si>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</si>
  <si>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</si>
  <si>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</si>
  <si>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</si>
  <si>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</si>
  <si>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</si>
  <si>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</si>
  <si>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</si>
  <si>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</si>
  <si>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</si>
  <si>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</si>
  <si>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</si>
  <si>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</si>
  <si>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</si>
  <si>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</si>
  <si>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</si>
  <si>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</si>
  <si>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</si>
  <si>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</si>
  <si>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</si>
  <si>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</si>
  <si>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</si>
  <si>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</si>
  <si>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</si>
  <si>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</si>
  <si>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</si>
  <si>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</si>
  <si>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</si>
  <si>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</si>
  <si>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</si>
  <si>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</si>
  <si>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</si>
  <si>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</si>
  <si>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</si>
  <si>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</si>
  <si>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</si>
  <si>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</si>
  <si>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</si>
  <si>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</si>
  <si>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</si>
  <si>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</si>
  <si>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</si>
  <si>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</si>
  <si>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</si>
  <si>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</si>
  <si>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</si>
  <si>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</si>
  <si>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</si>
  <si>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</si>
  <si>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</si>
  <si>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</si>
  <si>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</si>
  <si>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</si>
  <si>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</si>
  <si>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</si>
  <si>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</si>
  <si>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</si>
  <si>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</si>
  <si>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</si>
  <si>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</si>
  <si>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</si>
  <si>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</si>
  <si>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</si>
  <si>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</si>
  <si>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</si>
  <si>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</si>
  <si>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</si>
  <si>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</si>
  <si>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</si>
  <si>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</si>
  <si>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</si>
  <si>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</si>
  <si>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</si>
  <si>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</si>
  <si>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</si>
  <si>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</si>
  <si>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</si>
  <si>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</si>
  <si>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</si>
  <si>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</si>
  <si>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</si>
  <si>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</si>
  <si>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</si>
  <si>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</si>
  <si>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</si>
  <si>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 xml:space="preserve">   FCR less Depreciation  (Projected TCOS, ln 12)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</si>
  <si>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</si>
  <si>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</si>
  <si>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</si>
  <si>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</si>
  <si>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</si>
  <si>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</si>
  <si>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</si>
  <si>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</si>
  <si>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</si>
  <si>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</si>
  <si>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</si>
  <si>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</si>
  <si>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</si>
  <si>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</si>
  <si>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</si>
  <si>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</si>
  <si>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</si>
  <si>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</si>
  <si>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</si>
  <si>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</si>
  <si>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</si>
  <si>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   ROE w/o incentives  (Projected TCOS, ln 148)</t>
  </si>
  <si>
    <t>Annual Depreciation Expense  (Historic TCOS, ln 244)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</si>
  <si>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</si>
  <si>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</si>
  <si>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</si>
  <si>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</si>
  <si>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</si>
  <si>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</si>
  <si>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</si>
  <si>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</si>
  <si>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>Annual Depreciation Expense  (True-Up TCOS, ln 82)</t>
  </si>
  <si>
    <t>Fort Towson-Valliant Line Rebuild</t>
  </si>
  <si>
    <t>TP2015204</t>
  </si>
  <si>
    <t>P.025</t>
  </si>
  <si>
    <t>Transmission Plant Average Balance for 2018</t>
  </si>
  <si>
    <t xml:space="preserve">   Excess DFIT Adjustment  (TCOS, ln 109)</t>
  </si>
  <si>
    <t xml:space="preserve">   Tax Effect of Permanent and Flow Through Differences (TCOS, ln 110)</t>
  </si>
  <si>
    <t xml:space="preserve">   Rate Base  (TCOS, ln 62)</t>
  </si>
  <si>
    <t xml:space="preserve">   Tax Rate  (TCOS, ln 97)</t>
  </si>
  <si>
    <t xml:space="preserve">   ITC Adjustment  (TCOS, ln 106)</t>
  </si>
  <si>
    <t xml:space="preserve">   Excess DFIT Adjustment  (TCOS, ln 107)</t>
  </si>
  <si>
    <t xml:space="preserve">   Tax Effect of Permanent and Flow Through Differences  (TCOS, ln 108)</t>
  </si>
  <si>
    <t xml:space="preserve">   Net Revenue Requirement  (TCOS, ln 115)</t>
  </si>
  <si>
    <t xml:space="preserve">   Return  (TCOS, ln 110)</t>
  </si>
  <si>
    <t xml:space="preserve">   Income Taxes  (TCOS, ln 109)</t>
  </si>
  <si>
    <t xml:space="preserve">  Gross Margin Taxes  (TCOS, ln 114)</t>
  </si>
  <si>
    <t xml:space="preserve">   Less: Depreciation  (TCOS, ln 84)</t>
  </si>
  <si>
    <t xml:space="preserve">   Net Transmission Plant  (TCOS, ln 37)</t>
  </si>
  <si>
    <t>P.026</t>
  </si>
  <si>
    <t>P.027</t>
  </si>
  <si>
    <t>Tulsa Southeast - E. 61st St 138 kV Rebuild</t>
  </si>
  <si>
    <t>Broken Arrow North-Lynn Lane East 138 kV</t>
  </si>
  <si>
    <t>TP2017011</t>
  </si>
  <si>
    <t>TP2017016</t>
  </si>
  <si>
    <t>Keystone Dam - Wekiwa 138 kV</t>
  </si>
  <si>
    <t xml:space="preserve">  SPP Project ID = 41233</t>
  </si>
  <si>
    <t>P.028</t>
  </si>
  <si>
    <t>Transmission Plant Average Balance for 2020</t>
  </si>
  <si>
    <t>True-Up ARR CY 2020 From Worksheet G  (includes adjustment for SPP Collections)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</si>
</sst>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&quot;$&quot;#,##0\ ;\(&quot;$&quot;#,##0\)"/>
    <numFmt numFmtId="179" formatCode="_(* #,##0.0,_);_(* \(#,##0.0,\);_(* &quot;-   &quot;_);_(@_)"/>
    <numFmt numFmtId="180" formatCode="0.0000%"/>
  </numFmts>
  <fonts count="123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color rgb="FF0033CC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9" fontId="80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65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 applyAlignment="1"/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10" fontId="7" fillId="0" borderId="0" xfId="0" applyNumberFormat="1" applyFont="1"/>
    <xf numFmtId="0" fontId="7" fillId="0" borderId="0" xfId="0" applyFont="1" applyFill="1" applyBorder="1" applyAlignment="1">
      <alignment wrapText="1"/>
    </xf>
    <xf numFmtId="0" fontId="0" fillId="0" borderId="0" xfId="0" applyFill="1"/>
    <xf numFmtId="170" fontId="7" fillId="0" borderId="0" xfId="0" applyNumberFormat="1" applyFont="1"/>
    <xf numFmtId="0" fontId="46" fillId="0" borderId="0" xfId="0" applyFont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0" fontId="55" fillId="0" borderId="0" xfId="0" applyNumberFormat="1" applyFont="1" applyAlignment="1">
      <alignment horizontal="left"/>
    </xf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68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0" fontId="7" fillId="0" borderId="26" xfId="0" applyNumberFormat="1" applyFont="1" applyFill="1" applyBorder="1"/>
    <xf numFmtId="0" fontId="0" fillId="0" borderId="0" xfId="0" applyProtection="1"/>
    <xf numFmtId="0" fontId="14" fillId="0" borderId="0" xfId="0" applyNumberFormat="1" applyFont="1" applyAlignment="1" applyProtection="1">
      <alignment horizontal="center"/>
    </xf>
    <xf numFmtId="3" fontId="14" fillId="0" borderId="0" xfId="0" quotePrefix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169" fontId="14" fillId="0" borderId="0" xfId="549" applyFont="1" applyFill="1" applyAlignment="1" applyProtection="1"/>
    <xf numFmtId="49" fontId="71" fillId="0" borderId="0" xfId="549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9" fillId="0" borderId="11" xfId="0" applyFont="1" applyBorder="1" applyAlignment="1" applyProtection="1">
      <alignment horizontal="centerContinuous"/>
    </xf>
    <xf numFmtId="0" fontId="39" fillId="0" borderId="11" xfId="0" applyFont="1" applyBorder="1" applyAlignment="1" applyProtection="1">
      <alignment horizontal="left"/>
    </xf>
    <xf numFmtId="0" fontId="53" fillId="0" borderId="0" xfId="0" quotePrefix="1" applyFont="1" applyAlignment="1" applyProtection="1">
      <alignment horizontal="left"/>
    </xf>
    <xf numFmtId="0" fontId="39" fillId="0" borderId="0" xfId="0" applyFont="1" applyBorder="1" applyAlignment="1" applyProtection="1">
      <alignment horizontal="center"/>
    </xf>
    <xf numFmtId="0" fontId="65" fillId="0" borderId="11" xfId="0" quotePrefix="1" applyFont="1" applyBorder="1" applyAlignment="1" applyProtection="1">
      <alignment horizontal="centerContinuous"/>
    </xf>
    <xf numFmtId="0" fontId="65" fillId="0" borderId="0" xfId="0" quotePrefix="1" applyFont="1" applyBorder="1" applyAlignment="1" applyProtection="1">
      <alignment horizontal="centerContinuous"/>
    </xf>
    <xf numFmtId="0" fontId="65" fillId="0" borderId="11" xfId="0" applyFont="1" applyBorder="1" applyAlignment="1" applyProtection="1">
      <alignment horizontal="centerContinuous"/>
    </xf>
    <xf numFmtId="0" fontId="72" fillId="0" borderId="0" xfId="0" applyFont="1" applyFill="1" applyProtection="1"/>
    <xf numFmtId="0" fontId="65" fillId="0" borderId="0" xfId="0" applyFont="1" applyAlignment="1" applyProtection="1">
      <alignment horizontal="center" wrapText="1"/>
    </xf>
    <xf numFmtId="0" fontId="65" fillId="0" borderId="0" xfId="0" applyFont="1" applyAlignment="1" applyProtection="1">
      <alignment horizontal="center"/>
    </xf>
    <xf numFmtId="0" fontId="65" fillId="0" borderId="0" xfId="0" applyFont="1" applyBorder="1" applyAlignment="1" applyProtection="1">
      <alignment horizontal="center" wrapText="1"/>
    </xf>
    <xf numFmtId="0" fontId="65" fillId="0" borderId="0" xfId="0" quotePrefix="1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wrapText="1"/>
    </xf>
    <xf numFmtId="0" fontId="39" fillId="0" borderId="0" xfId="0" applyFont="1" applyProtection="1"/>
    <xf numFmtId="0" fontId="0" fillId="0" borderId="25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170" fontId="1" fillId="0" borderId="0" xfId="117" applyNumberFormat="1" applyFont="1" applyFill="1" applyAlignment="1" applyProtection="1">
      <alignment vertical="center"/>
    </xf>
    <xf numFmtId="170" fontId="1" fillId="0" borderId="0" xfId="117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0" fontId="7" fillId="0" borderId="0" xfId="121" applyNumberFormat="1" applyFont="1" applyFill="1" applyAlignment="1" applyProtection="1">
      <alignment vertical="center"/>
    </xf>
    <xf numFmtId="170" fontId="64" fillId="27" borderId="0" xfId="117" applyNumberFormat="1" applyFont="1" applyFill="1" applyAlignment="1" applyProtection="1">
      <alignment vertical="center"/>
    </xf>
    <xf numFmtId="170" fontId="1" fillId="0" borderId="0" xfId="117" applyNumberFormat="1" applyAlignment="1" applyProtection="1">
      <alignment vertical="center"/>
    </xf>
    <xf numFmtId="170" fontId="39" fillId="0" borderId="0" xfId="117" applyNumberFormat="1" applyFont="1" applyAlignment="1" applyProtection="1">
      <alignment horizontal="center" vertical="center"/>
    </xf>
    <xf numFmtId="170" fontId="0" fillId="0" borderId="25" xfId="0" applyNumberFormat="1" applyBorder="1" applyAlignment="1" applyProtection="1">
      <alignment vertical="center"/>
    </xf>
    <xf numFmtId="170" fontId="39" fillId="0" borderId="0" xfId="117" applyNumberFormat="1" applyFon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170" fontId="1" fillId="0" borderId="0" xfId="117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7" fillId="0" borderId="0" xfId="0" quotePrefix="1" applyFont="1" applyAlignment="1" applyProtection="1">
      <alignment horizontal="center" vertical="center"/>
    </xf>
    <xf numFmtId="0" fontId="0" fillId="0" borderId="0" xfId="0" applyBorder="1" applyProtection="1"/>
    <xf numFmtId="170" fontId="1" fillId="0" borderId="0" xfId="117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0" fontId="64" fillId="27" borderId="0" xfId="117" applyNumberFormat="1" applyFont="1" applyFill="1" applyBorder="1" applyAlignment="1" applyProtection="1">
      <alignment vertical="center"/>
    </xf>
    <xf numFmtId="170" fontId="1" fillId="0" borderId="0" xfId="117" applyNumberFormat="1" applyFont="1" applyFill="1" applyBorder="1" applyAlignment="1" applyProtection="1">
      <alignment vertical="center"/>
    </xf>
    <xf numFmtId="170" fontId="1" fillId="0" borderId="0" xfId="117" applyNumberFormat="1" applyBorder="1" applyAlignment="1" applyProtection="1">
      <alignment vertical="center"/>
    </xf>
    <xf numFmtId="170" fontId="39" fillId="0" borderId="0" xfId="117" applyNumberFormat="1" applyFont="1" applyBorder="1" applyAlignment="1" applyProtection="1">
      <alignment vertical="center"/>
    </xf>
    <xf numFmtId="170" fontId="1" fillId="0" borderId="0" xfId="117" applyNumberFormat="1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64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43" fontId="73" fillId="0" borderId="0" xfId="117" applyNumberFormat="1" applyFont="1" applyAlignment="1" applyProtection="1">
      <alignment horizontal="center" vertical="center"/>
    </xf>
    <xf numFmtId="43" fontId="53" fillId="0" borderId="0" xfId="117" applyFont="1" applyAlignment="1" applyProtection="1">
      <alignment horizontal="center" vertical="center"/>
    </xf>
    <xf numFmtId="43" fontId="75" fillId="0" borderId="0" xfId="117" applyFont="1" applyAlignment="1" applyProtection="1">
      <alignment horizontal="left" vertical="center"/>
    </xf>
    <xf numFmtId="170" fontId="75" fillId="0" borderId="0" xfId="117" applyNumberFormat="1" applyFont="1" applyAlignment="1" applyProtection="1">
      <alignment horizontal="center" vertical="center"/>
    </xf>
    <xf numFmtId="43" fontId="76" fillId="0" borderId="0" xfId="117" applyFont="1" applyAlignment="1" applyProtection="1">
      <alignment vertical="center"/>
    </xf>
    <xf numFmtId="43" fontId="1" fillId="0" borderId="0" xfId="117" applyAlignment="1" applyProtection="1">
      <alignment vertical="center"/>
    </xf>
    <xf numFmtId="170" fontId="0" fillId="0" borderId="26" xfId="0" applyNumberFormat="1" applyBorder="1" applyProtection="1"/>
    <xf numFmtId="0" fontId="0" fillId="0" borderId="0" xfId="0" quotePrefix="1" applyAlignment="1" applyProtection="1">
      <alignment horizontal="left" vertical="center"/>
    </xf>
    <xf numFmtId="13" fontId="5" fillId="0" borderId="0" xfId="0" applyNumberFormat="1" applyFont="1" applyAlignment="1" applyProtection="1">
      <alignment horizontal="center" vertical="center"/>
    </xf>
    <xf numFmtId="170" fontId="0" fillId="0" borderId="0" xfId="117" applyNumberFormat="1" applyFont="1" applyProtection="1"/>
    <xf numFmtId="170" fontId="64" fillId="27" borderId="0" xfId="0" applyNumberFormat="1" applyFont="1" applyFill="1" applyAlignment="1" applyProtection="1">
      <alignment vertical="center"/>
    </xf>
    <xf numFmtId="170" fontId="1" fillId="0" borderId="0" xfId="117" applyNumberFormat="1" applyProtection="1"/>
    <xf numFmtId="164" fontId="1" fillId="0" borderId="0" xfId="0" applyNumberFormat="1" applyFont="1" applyFill="1" applyProtection="1"/>
    <xf numFmtId="43" fontId="1" fillId="0" borderId="0" xfId="117" applyProtection="1"/>
    <xf numFmtId="177" fontId="1" fillId="0" borderId="0" xfId="117" applyNumberFormat="1" applyProtection="1"/>
    <xf numFmtId="0" fontId="0" fillId="0" borderId="33" xfId="0" applyBorder="1" applyProtection="1"/>
    <xf numFmtId="0" fontId="0" fillId="0" borderId="2" xfId="0" applyBorder="1" applyProtection="1"/>
    <xf numFmtId="170" fontId="1" fillId="0" borderId="2" xfId="117" applyNumberFormat="1" applyBorder="1" applyProtection="1"/>
    <xf numFmtId="0" fontId="0" fillId="0" borderId="27" xfId="0" applyBorder="1" applyProtection="1"/>
    <xf numFmtId="0" fontId="0" fillId="0" borderId="34" xfId="0" applyBorder="1" applyProtection="1"/>
    <xf numFmtId="0" fontId="0" fillId="0" borderId="0" xfId="0" applyBorder="1" applyAlignment="1" applyProtection="1">
      <alignment horizontal="center"/>
    </xf>
    <xf numFmtId="49" fontId="71" fillId="0" borderId="0" xfId="549" applyNumberFormat="1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0" fontId="0" fillId="0" borderId="11" xfId="0" applyBorder="1" applyProtection="1"/>
    <xf numFmtId="170" fontId="1" fillId="0" borderId="11" xfId="117" applyNumberFormat="1" applyBorder="1" applyProtection="1"/>
    <xf numFmtId="0" fontId="0" fillId="0" borderId="37" xfId="0" applyBorder="1" applyProtection="1"/>
    <xf numFmtId="0" fontId="7" fillId="0" borderId="0" xfId="0" applyFont="1" applyProtection="1"/>
    <xf numFmtId="0" fontId="0" fillId="0" borderId="0" xfId="0" quotePrefix="1" applyAlignment="1" applyProtection="1">
      <alignment horizontal="left"/>
    </xf>
    <xf numFmtId="171" fontId="0" fillId="0" borderId="0" xfId="327" applyNumberFormat="1" applyFont="1" applyProtection="1"/>
    <xf numFmtId="0" fontId="0" fillId="0" borderId="0" xfId="0" quotePrefix="1" applyAlignment="1" applyProtection="1">
      <alignment horizontal="center"/>
    </xf>
    <xf numFmtId="170" fontId="0" fillId="0" borderId="0" xfId="0" applyNumberFormat="1" applyProtection="1"/>
    <xf numFmtId="170" fontId="0" fillId="0" borderId="0" xfId="121" applyNumberFormat="1" applyFont="1" applyProtection="1"/>
    <xf numFmtId="170" fontId="0" fillId="0" borderId="0" xfId="561" applyNumberFormat="1" applyFont="1" applyProtection="1"/>
    <xf numFmtId="0" fontId="39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70" fontId="7" fillId="0" borderId="0" xfId="117" applyNumberFormat="1" applyFont="1" applyProtection="1"/>
    <xf numFmtId="0" fontId="7" fillId="0" borderId="0" xfId="0" applyFont="1" applyBorder="1" applyProtection="1"/>
    <xf numFmtId="0" fontId="4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left"/>
    </xf>
    <xf numFmtId="41" fontId="0" fillId="0" borderId="0" xfId="0" applyNumberFormat="1" applyProtection="1"/>
    <xf numFmtId="3" fontId="0" fillId="0" borderId="0" xfId="0" applyNumberFormat="1" applyProtection="1"/>
    <xf numFmtId="0" fontId="7" fillId="0" borderId="0" xfId="549" applyNumberFormat="1" applyFont="1" applyBorder="1" applyAlignment="1" applyProtection="1"/>
    <xf numFmtId="3" fontId="7" fillId="0" borderId="0" xfId="549" applyNumberFormat="1" applyFont="1" applyAlignment="1" applyProtection="1"/>
    <xf numFmtId="10" fontId="7" fillId="0" borderId="0" xfId="549" applyNumberFormat="1" applyFont="1" applyAlignment="1" applyProtection="1"/>
    <xf numFmtId="166" fontId="7" fillId="0" borderId="0" xfId="549" applyNumberFormat="1" applyFont="1" applyAlignment="1" applyProtection="1"/>
    <xf numFmtId="43" fontId="7" fillId="0" borderId="0" xfId="117" applyFont="1" applyAlignment="1" applyProtection="1"/>
    <xf numFmtId="169" fontId="7" fillId="0" borderId="0" xfId="549" applyFont="1" applyAlignment="1" applyProtection="1"/>
    <xf numFmtId="169" fontId="7" fillId="0" borderId="0" xfId="549" applyFont="1" applyBorder="1" applyAlignment="1" applyProtection="1"/>
    <xf numFmtId="0" fontId="7" fillId="28" borderId="0" xfId="117" applyNumberFormat="1" applyFont="1" applyFill="1" applyAlignment="1" applyProtection="1"/>
    <xf numFmtId="10" fontId="7" fillId="0" borderId="0" xfId="549" applyNumberFormat="1" applyFont="1" applyFill="1" applyAlignment="1" applyProtection="1">
      <alignment horizontal="right"/>
    </xf>
    <xf numFmtId="3" fontId="39" fillId="0" borderId="0" xfId="549" applyNumberFormat="1" applyFont="1" applyAlignment="1" applyProtection="1"/>
    <xf numFmtId="3" fontId="48" fillId="0" borderId="0" xfId="549" applyNumberFormat="1" applyFont="1" applyAlignment="1" applyProtection="1">
      <alignment horizontal="center"/>
    </xf>
    <xf numFmtId="10" fontId="48" fillId="0" borderId="0" xfId="549" applyNumberFormat="1" applyFont="1" applyFill="1" applyAlignment="1" applyProtection="1">
      <alignment horizontal="center"/>
    </xf>
    <xf numFmtId="0" fontId="7" fillId="0" borderId="0" xfId="549" applyNumberFormat="1" applyFont="1" applyFill="1" applyBorder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166" fontId="7" fillId="0" borderId="0" xfId="549" applyNumberFormat="1" applyFont="1" applyAlignment="1" applyProtection="1">
      <alignment horizontal="center"/>
    </xf>
    <xf numFmtId="167" fontId="7" fillId="0" borderId="0" xfId="549" applyNumberFormat="1" applyFont="1" applyFill="1" applyAlignment="1" applyProtection="1"/>
    <xf numFmtId="165" fontId="7" fillId="0" borderId="0" xfId="549" applyNumberFormat="1" applyFont="1" applyAlignment="1" applyProtection="1">
      <alignment horizontal="center"/>
    </xf>
    <xf numFmtId="165" fontId="7" fillId="0" borderId="0" xfId="549" applyNumberFormat="1" applyFont="1" applyBorder="1" applyAlignment="1" applyProtection="1">
      <alignment horizontal="center"/>
    </xf>
    <xf numFmtId="169" fontId="7" fillId="0" borderId="13" xfId="549" applyFont="1" applyBorder="1" applyAlignment="1" applyProtection="1"/>
    <xf numFmtId="0" fontId="7" fillId="0" borderId="0" xfId="549" applyNumberFormat="1" applyFont="1" applyBorder="1" applyAlignment="1" applyProtection="1">
      <alignment horizontal="center"/>
    </xf>
    <xf numFmtId="3" fontId="7" fillId="0" borderId="14" xfId="549" applyNumberFormat="1" applyFont="1" applyBorder="1" applyAlignment="1" applyProtection="1"/>
    <xf numFmtId="41" fontId="7" fillId="0" borderId="0" xfId="549" applyNumberFormat="1" applyFont="1" applyAlignment="1" applyProtection="1"/>
    <xf numFmtId="41" fontId="7" fillId="0" borderId="0" xfId="549" applyNumberFormat="1" applyFont="1" applyAlignment="1" applyProtection="1">
      <alignment horizontal="center"/>
    </xf>
    <xf numFmtId="41" fontId="7" fillId="0" borderId="0" xfId="549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7" fillId="0" borderId="0" xfId="549" applyNumberFormat="1" applyFont="1" applyBorder="1" applyAlignment="1" applyProtection="1">
      <alignment horizontal="right"/>
    </xf>
    <xf numFmtId="167" fontId="48" fillId="0" borderId="0" xfId="549" applyNumberFormat="1" applyFont="1" applyFill="1" applyAlignment="1" applyProtection="1"/>
    <xf numFmtId="165" fontId="15" fillId="0" borderId="15" xfId="549" applyNumberFormat="1" applyFont="1" applyBorder="1" applyAlignment="1" applyProtection="1">
      <alignment horizontal="center"/>
    </xf>
    <xf numFmtId="0" fontId="7" fillId="28" borderId="6" xfId="549" applyNumberFormat="1" applyFont="1" applyFill="1" applyBorder="1" applyAlignment="1" applyProtection="1">
      <alignment horizontal="center"/>
    </xf>
    <xf numFmtId="170" fontId="7" fillId="0" borderId="6" xfId="549" applyNumberFormat="1" applyFont="1" applyBorder="1" applyAlignment="1" applyProtection="1">
      <alignment horizontal="center"/>
    </xf>
    <xf numFmtId="171" fontId="0" fillId="0" borderId="16" xfId="0" applyNumberFormat="1" applyBorder="1" applyProtection="1"/>
    <xf numFmtId="3" fontId="7" fillId="0" borderId="0" xfId="549" applyNumberFormat="1" applyFont="1" applyAlignment="1" applyProtection="1">
      <alignment horizontal="right"/>
    </xf>
    <xf numFmtId="0" fontId="63" fillId="0" borderId="0" xfId="0" applyFont="1" applyAlignment="1" applyProtection="1">
      <alignment horizontal="center"/>
    </xf>
    <xf numFmtId="10" fontId="7" fillId="0" borderId="0" xfId="549" applyNumberFormat="1" applyFont="1" applyFill="1" applyAlignment="1" applyProtection="1">
      <alignment horizontal="left"/>
    </xf>
    <xf numFmtId="41" fontId="7" fillId="0" borderId="0" xfId="549" applyNumberFormat="1" applyFont="1" applyBorder="1" applyAlignment="1" applyProtection="1"/>
    <xf numFmtId="41" fontId="7" fillId="0" borderId="0" xfId="549" applyNumberFormat="1" applyFont="1" applyFill="1" applyAlignment="1" applyProtection="1"/>
    <xf numFmtId="0" fontId="7" fillId="0" borderId="0" xfId="549" applyNumberFormat="1" applyFont="1" applyAlignment="1" applyProtection="1">
      <alignment horizontal="center"/>
    </xf>
    <xf numFmtId="41" fontId="7" fillId="0" borderId="0" xfId="549" quotePrefix="1" applyNumberFormat="1" applyFont="1" applyBorder="1" applyAlignment="1" applyProtection="1"/>
    <xf numFmtId="41" fontId="7" fillId="0" borderId="0" xfId="549" applyNumberFormat="1" applyFont="1" applyFill="1" applyBorder="1" applyAlignment="1" applyProtection="1">
      <alignment horizontal="right"/>
    </xf>
    <xf numFmtId="172" fontId="7" fillId="0" borderId="11" xfId="549" applyNumberFormat="1" applyFont="1" applyBorder="1" applyAlignment="1" applyProtection="1"/>
    <xf numFmtId="164" fontId="7" fillId="0" borderId="0" xfId="549" applyNumberFormat="1" applyFont="1" applyFill="1" applyBorder="1" applyAlignment="1" applyProtection="1">
      <alignment horizontal="left"/>
    </xf>
    <xf numFmtId="164" fontId="7" fillId="0" borderId="0" xfId="549" applyNumberFormat="1" applyFont="1" applyBorder="1" applyAlignment="1" applyProtection="1">
      <alignment horizontal="left"/>
    </xf>
    <xf numFmtId="3" fontId="7" fillId="0" borderId="0" xfId="549" applyNumberFormat="1" applyFont="1" applyAlignment="1" applyProtection="1">
      <alignment vertical="center" wrapText="1"/>
    </xf>
    <xf numFmtId="41" fontId="7" fillId="0" borderId="0" xfId="549" applyNumberFormat="1" applyFont="1" applyBorder="1" applyAlignment="1" applyProtection="1">
      <alignment vertical="center"/>
    </xf>
    <xf numFmtId="41" fontId="7" fillId="0" borderId="0" xfId="549" applyNumberFormat="1" applyFont="1" applyBorder="1" applyAlignment="1" applyProtection="1">
      <alignment horizontal="center" vertical="center"/>
    </xf>
    <xf numFmtId="41" fontId="7" fillId="0" borderId="0" xfId="549" applyNumberFormat="1" applyFont="1" applyAlignment="1" applyProtection="1">
      <alignment horizontal="right"/>
    </xf>
    <xf numFmtId="10" fontId="7" fillId="0" borderId="0" xfId="0" applyNumberFormat="1" applyFont="1" applyBorder="1" applyProtection="1"/>
    <xf numFmtId="0" fontId="7" fillId="0" borderId="0" xfId="0" applyFont="1" applyFill="1" applyAlignment="1" applyProtection="1">
      <alignment horizontal="center"/>
    </xf>
    <xf numFmtId="41" fontId="7" fillId="0" borderId="0" xfId="0" applyNumberFormat="1" applyFont="1" applyProtection="1"/>
    <xf numFmtId="3" fontId="14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/>
    <xf numFmtId="3" fontId="14" fillId="0" borderId="0" xfId="549" applyNumberFormat="1" applyFont="1" applyFill="1" applyBorder="1" applyAlignment="1" applyProtection="1">
      <alignment horizontal="center"/>
    </xf>
    <xf numFmtId="41" fontId="14" fillId="0" borderId="0" xfId="549" applyNumberFormat="1" applyFont="1" applyFill="1" applyBorder="1" applyAlignment="1" applyProtection="1"/>
    <xf numFmtId="0" fontId="14" fillId="0" borderId="0" xfId="549" applyNumberFormat="1" applyFont="1" applyFill="1" applyBorder="1" applyAlignment="1" applyProtection="1"/>
    <xf numFmtId="0" fontId="47" fillId="0" borderId="0" xfId="0" applyFont="1" applyFill="1" applyProtection="1"/>
    <xf numFmtId="0" fontId="6" fillId="0" borderId="0" xfId="0" applyFont="1" applyFill="1" applyProtection="1"/>
    <xf numFmtId="0" fontId="14" fillId="0" borderId="0" xfId="549" applyNumberFormat="1" applyFont="1" applyFill="1" applyBorder="1" applyProtection="1"/>
    <xf numFmtId="0" fontId="7" fillId="0" borderId="0" xfId="549" applyNumberFormat="1" applyFont="1" applyFill="1" applyBorder="1" applyAlignment="1" applyProtection="1"/>
    <xf numFmtId="3" fontId="7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>
      <alignment horizontal="center"/>
    </xf>
    <xf numFmtId="0" fontId="7" fillId="0" borderId="0" xfId="549" applyNumberFormat="1" applyFont="1" applyFill="1" applyBorder="1" applyProtection="1"/>
    <xf numFmtId="3" fontId="7" fillId="0" borderId="0" xfId="549" applyNumberFormat="1" applyFont="1" applyFill="1" applyBorder="1" applyAlignment="1" applyProtection="1">
      <alignment horizontal="center"/>
    </xf>
    <xf numFmtId="41" fontId="7" fillId="0" borderId="11" xfId="549" applyNumberFormat="1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549" applyNumberFormat="1" applyFont="1" applyFill="1" applyBorder="1" applyAlignment="1" applyProtection="1">
      <alignment horizontal="center"/>
    </xf>
    <xf numFmtId="10" fontId="7" fillId="0" borderId="0" xfId="549" applyNumberFormat="1" applyFont="1" applyFill="1" applyBorder="1" applyAlignment="1" applyProtection="1"/>
    <xf numFmtId="167" fontId="7" fillId="0" borderId="0" xfId="549" applyNumberFormat="1" applyFont="1" applyFill="1" applyBorder="1" applyAlignment="1" applyProtection="1"/>
    <xf numFmtId="169" fontId="7" fillId="0" borderId="0" xfId="549" applyFont="1" applyFill="1" applyBorder="1" applyAlignment="1" applyProtection="1"/>
    <xf numFmtId="3" fontId="7" fillId="0" borderId="0" xfId="549" quotePrefix="1" applyNumberFormat="1" applyFont="1" applyFill="1" applyBorder="1" applyAlignment="1" applyProtection="1"/>
    <xf numFmtId="3" fontId="39" fillId="0" borderId="0" xfId="549" applyNumberFormat="1" applyFont="1" applyFill="1" applyBorder="1" applyAlignment="1" applyProtection="1">
      <alignment horizontal="right"/>
    </xf>
    <xf numFmtId="167" fontId="39" fillId="0" borderId="0" xfId="549" applyNumberFormat="1" applyFont="1" applyFill="1" applyBorder="1" applyAlignment="1" applyProtection="1"/>
    <xf numFmtId="3" fontId="39" fillId="0" borderId="0" xfId="549" quotePrefix="1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170" fontId="7" fillId="0" borderId="0" xfId="117" applyNumberFormat="1" applyFont="1" applyFill="1" applyBorder="1" applyProtection="1"/>
    <xf numFmtId="41" fontId="48" fillId="0" borderId="0" xfId="549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41" fontId="7" fillId="0" borderId="11" xfId="0" applyNumberFormat="1" applyFont="1" applyFill="1" applyBorder="1" applyProtection="1"/>
    <xf numFmtId="41" fontId="7" fillId="0" borderId="0" xfId="0" applyNumberFormat="1" applyFont="1" applyBorder="1" applyProtection="1"/>
    <xf numFmtId="41" fontId="48" fillId="0" borderId="0" xfId="0" applyNumberFormat="1" applyFont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41" fontId="7" fillId="0" borderId="0" xfId="0" applyNumberFormat="1" applyFont="1" applyFill="1" applyProtection="1"/>
    <xf numFmtId="170" fontId="7" fillId="0" borderId="0" xfId="117" applyNumberFormat="1" applyFont="1" applyFill="1" applyProtection="1"/>
    <xf numFmtId="10" fontId="7" fillId="0" borderId="11" xfId="0" applyNumberFormat="1" applyFont="1" applyFill="1" applyBorder="1" applyProtection="1"/>
    <xf numFmtId="9" fontId="7" fillId="0" borderId="11" xfId="559" applyFont="1" applyFill="1" applyBorder="1" applyProtection="1"/>
    <xf numFmtId="170" fontId="7" fillId="0" borderId="11" xfId="117" applyNumberFormat="1" applyFont="1" applyFill="1" applyBorder="1" applyAlignment="1" applyProtection="1"/>
    <xf numFmtId="41" fontId="7" fillId="0" borderId="11" xfId="0" applyNumberFormat="1" applyFont="1" applyBorder="1" applyProtection="1"/>
    <xf numFmtId="10" fontId="7" fillId="0" borderId="0" xfId="0" applyNumberFormat="1" applyFont="1" applyProtection="1"/>
    <xf numFmtId="10" fontId="48" fillId="0" borderId="0" xfId="0" applyNumberFormat="1" applyFont="1" applyProtection="1"/>
    <xf numFmtId="170" fontId="7" fillId="0" borderId="11" xfId="117" applyNumberFormat="1" applyFont="1" applyFill="1" applyBorder="1" applyProtection="1"/>
    <xf numFmtId="174" fontId="7" fillId="0" borderId="0" xfId="0" applyNumberFormat="1" applyFont="1" applyProtection="1"/>
    <xf numFmtId="43" fontId="7" fillId="0" borderId="0" xfId="117" applyFont="1" applyProtection="1"/>
    <xf numFmtId="43" fontId="7" fillId="0" borderId="0" xfId="117" applyNumberFormat="1" applyFont="1" applyProtection="1"/>
    <xf numFmtId="17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170" fontId="7" fillId="0" borderId="0" xfId="0" applyNumberFormat="1" applyFont="1" applyBorder="1" applyProtection="1"/>
    <xf numFmtId="170" fontId="7" fillId="0" borderId="0" xfId="117" applyNumberFormat="1" applyFont="1" applyBorder="1" applyProtection="1"/>
    <xf numFmtId="171" fontId="7" fillId="0" borderId="0" xfId="0" applyNumberFormat="1" applyFont="1" applyBorder="1" applyProtection="1"/>
    <xf numFmtId="0" fontId="65" fillId="0" borderId="0" xfId="0" quotePrefix="1" applyFont="1" applyAlignment="1" applyProtection="1">
      <alignment horizontal="left"/>
    </xf>
    <xf numFmtId="0" fontId="66" fillId="0" borderId="0" xfId="0" quotePrefix="1" applyFont="1" applyAlignment="1" applyProtection="1">
      <alignment horizontal="left"/>
    </xf>
    <xf numFmtId="0" fontId="7" fillId="0" borderId="17" xfId="0" quotePrefix="1" applyFont="1" applyFill="1" applyBorder="1" applyAlignment="1" applyProtection="1">
      <alignment horizontal="left"/>
    </xf>
    <xf numFmtId="0" fontId="0" fillId="0" borderId="46" xfId="0" quotePrefix="1" applyBorder="1" applyAlignment="1" applyProtection="1">
      <alignment horizontal="left"/>
    </xf>
    <xf numFmtId="0" fontId="121" fillId="0" borderId="41" xfId="0" quotePrefix="1" applyFont="1" applyFill="1" applyBorder="1" applyAlignment="1" applyProtection="1">
      <alignment horizontal="right"/>
    </xf>
    <xf numFmtId="0" fontId="103" fillId="0" borderId="14" xfId="0" applyFont="1" applyBorder="1" applyProtection="1"/>
    <xf numFmtId="10" fontId="7" fillId="0" borderId="0" xfId="0" applyNumberFormat="1" applyFont="1" applyFill="1" applyProtection="1"/>
    <xf numFmtId="170" fontId="121" fillId="0" borderId="41" xfId="308" applyNumberFormat="1" applyFont="1" applyFill="1" applyBorder="1" applyProtection="1"/>
    <xf numFmtId="180" fontId="121" fillId="0" borderId="41" xfId="620" applyNumberFormat="1" applyFont="1" applyFill="1" applyBorder="1" applyProtection="1"/>
    <xf numFmtId="0" fontId="103" fillId="0" borderId="39" xfId="0" applyFont="1" applyBorder="1" applyProtection="1"/>
    <xf numFmtId="0" fontId="103" fillId="0" borderId="40" xfId="0" applyFont="1" applyBorder="1" applyProtection="1"/>
    <xf numFmtId="41" fontId="54" fillId="0" borderId="13" xfId="0" applyNumberFormat="1" applyFont="1" applyBorder="1" applyProtection="1"/>
    <xf numFmtId="3" fontId="7" fillId="0" borderId="43" xfId="484" applyNumberFormat="1" applyFont="1" applyFill="1" applyBorder="1" applyProtection="1"/>
    <xf numFmtId="10" fontId="54" fillId="0" borderId="13" xfId="0" applyNumberFormat="1" applyFont="1" applyBorder="1" applyProtection="1"/>
    <xf numFmtId="0" fontId="7" fillId="0" borderId="14" xfId="484" applyFont="1" applyFill="1" applyBorder="1" applyProtection="1"/>
    <xf numFmtId="10" fontId="121" fillId="0" borderId="41" xfId="561" applyNumberFormat="1" applyFont="1" applyFill="1" applyBorder="1" applyProtection="1"/>
    <xf numFmtId="0" fontId="54" fillId="0" borderId="20" xfId="0" applyFont="1" applyBorder="1" applyProtection="1"/>
    <xf numFmtId="170" fontId="121" fillId="0" borderId="42" xfId="0" applyNumberFormat="1" applyFont="1" applyFill="1" applyBorder="1" applyProtection="1"/>
    <xf numFmtId="0" fontId="54" fillId="0" borderId="44" xfId="0" applyFont="1" applyBorder="1" applyProtection="1"/>
    <xf numFmtId="170" fontId="7" fillId="0" borderId="0" xfId="0" applyNumberFormat="1" applyFont="1" applyFill="1" applyBorder="1" applyProtection="1"/>
    <xf numFmtId="0" fontId="54" fillId="0" borderId="16" xfId="0" applyFont="1" applyBorder="1" applyProtection="1"/>
    <xf numFmtId="170" fontId="54" fillId="0" borderId="24" xfId="0" applyNumberFormat="1" applyFont="1" applyBorder="1" applyProtection="1"/>
    <xf numFmtId="170" fontId="54" fillId="0" borderId="25" xfId="0" applyNumberFormat="1" applyFont="1" applyBorder="1" applyProtection="1"/>
    <xf numFmtId="171" fontId="54" fillId="0" borderId="26" xfId="0" applyNumberFormat="1" applyFont="1" applyBorder="1" applyProtection="1"/>
    <xf numFmtId="0" fontId="50" fillId="0" borderId="0" xfId="0" applyFont="1" applyFill="1" applyProtection="1"/>
    <xf numFmtId="0" fontId="0" fillId="0" borderId="0" xfId="0" applyAlignment="1" applyProtection="1">
      <alignment wrapText="1"/>
    </xf>
    <xf numFmtId="0" fontId="7" fillId="26" borderId="0" xfId="117" applyNumberFormat="1" applyFont="1" applyFill="1" applyAlignment="1" applyProtection="1"/>
    <xf numFmtId="0" fontId="7" fillId="0" borderId="0" xfId="117" applyNumberFormat="1" applyFont="1" applyFill="1" applyAlignment="1" applyProtection="1"/>
    <xf numFmtId="169" fontId="15" fillId="0" borderId="17" xfId="549" applyFont="1" applyBorder="1" applyAlignment="1" applyProtection="1"/>
    <xf numFmtId="169" fontId="7" fillId="0" borderId="18" xfId="549" applyFont="1" applyBorder="1" applyAlignment="1" applyProtection="1"/>
    <xf numFmtId="3" fontId="7" fillId="0" borderId="19" xfId="549" applyNumberFormat="1" applyFont="1" applyBorder="1" applyAlignment="1" applyProtection="1"/>
    <xf numFmtId="0" fontId="7" fillId="28" borderId="0" xfId="549" applyNumberFormat="1" applyFont="1" applyFill="1" applyBorder="1" applyAlignment="1" applyProtection="1">
      <alignment horizontal="center"/>
    </xf>
    <xf numFmtId="167" fontId="7" fillId="0" borderId="0" xfId="549" applyNumberFormat="1" applyFont="1" applyAlignment="1" applyProtection="1"/>
    <xf numFmtId="0" fontId="7" fillId="0" borderId="0" xfId="0" quotePrefix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14" xfId="0" applyNumberFormat="1" applyBorder="1" applyProtection="1"/>
    <xf numFmtId="0" fontId="0" fillId="0" borderId="0" xfId="0" quotePrefix="1" applyBorder="1" applyAlignment="1" applyProtection="1">
      <alignment horizontal="right"/>
    </xf>
    <xf numFmtId="171" fontId="0" fillId="0" borderId="6" xfId="0" applyNumberFormat="1" applyBorder="1" applyProtection="1"/>
    <xf numFmtId="167" fontId="48" fillId="0" borderId="0" xfId="549" applyNumberFormat="1" applyFont="1" applyAlignment="1" applyProtection="1"/>
    <xf numFmtId="0" fontId="0" fillId="0" borderId="0" xfId="0" applyBorder="1" applyAlignment="1" applyProtection="1">
      <alignment horizontal="right"/>
    </xf>
    <xf numFmtId="170" fontId="0" fillId="0" borderId="0" xfId="0" applyNumberFormat="1" applyBorder="1" applyProtection="1"/>
    <xf numFmtId="170" fontId="0" fillId="0" borderId="19" xfId="0" applyNumberFormat="1" applyBorder="1" applyProtection="1"/>
    <xf numFmtId="173" fontId="7" fillId="0" borderId="0" xfId="549" applyNumberFormat="1" applyFont="1" applyAlignment="1" applyProtection="1"/>
    <xf numFmtId="165" fontId="7" fillId="0" borderId="15" xfId="549" applyNumberFormat="1" applyFont="1" applyBorder="1" applyAlignment="1" applyProtection="1">
      <alignment horizontal="center"/>
    </xf>
    <xf numFmtId="0" fontId="7" fillId="0" borderId="6" xfId="549" applyNumberFormat="1" applyFont="1" applyBorder="1" applyAlignment="1" applyProtection="1">
      <alignment horizontal="center"/>
    </xf>
    <xf numFmtId="170" fontId="7" fillId="0" borderId="6" xfId="549" quotePrefix="1" applyNumberFormat="1" applyFont="1" applyBorder="1" applyAlignment="1" applyProtection="1">
      <alignment horizontal="center"/>
    </xf>
    <xf numFmtId="41" fontId="48" fillId="0" borderId="11" xfId="549" applyNumberFormat="1" applyFont="1" applyFill="1" applyBorder="1" applyAlignment="1" applyProtection="1"/>
    <xf numFmtId="10" fontId="7" fillId="0" borderId="0" xfId="0" applyNumberFormat="1" applyFont="1" applyFill="1" applyBorder="1" applyProtection="1"/>
    <xf numFmtId="9" fontId="7" fillId="0" borderId="0" xfId="559" applyFont="1" applyFill="1" applyBorder="1" applyProtection="1"/>
    <xf numFmtId="170" fontId="7" fillId="0" borderId="0" xfId="117" applyNumberFormat="1" applyFont="1" applyFill="1" applyBorder="1" applyAlignment="1" applyProtection="1"/>
    <xf numFmtId="41" fontId="56" fillId="0" borderId="0" xfId="0" applyNumberFormat="1" applyFont="1" applyProtection="1"/>
    <xf numFmtId="10" fontId="0" fillId="0" borderId="0" xfId="0" applyNumberFormat="1" applyProtection="1"/>
    <xf numFmtId="164" fontId="1" fillId="0" borderId="0" xfId="559" applyNumberFormat="1" applyProtection="1"/>
    <xf numFmtId="0" fontId="7" fillId="0" borderId="47" xfId="0" quotePrefix="1" applyFont="1" applyFill="1" applyBorder="1" applyAlignment="1" applyProtection="1">
      <alignment horizontal="left"/>
    </xf>
    <xf numFmtId="0" fontId="0" fillId="0" borderId="19" xfId="0" applyBorder="1" applyProtection="1"/>
    <xf numFmtId="0" fontId="54" fillId="0" borderId="41" xfId="0" quotePrefix="1" applyFont="1" applyFill="1" applyBorder="1" applyAlignment="1" applyProtection="1">
      <alignment horizontal="right"/>
    </xf>
    <xf numFmtId="10" fontId="54" fillId="0" borderId="41" xfId="0" applyNumberFormat="1" applyFont="1" applyBorder="1" applyProtection="1"/>
    <xf numFmtId="170" fontId="54" fillId="0" borderId="41" xfId="317" applyNumberFormat="1" applyFont="1" applyBorder="1" applyProtection="1"/>
    <xf numFmtId="166" fontId="54" fillId="0" borderId="41" xfId="0" applyNumberFormat="1" applyFont="1" applyBorder="1" applyProtection="1"/>
    <xf numFmtId="3" fontId="54" fillId="0" borderId="43" xfId="0" applyNumberFormat="1" applyFont="1" applyBorder="1" applyProtection="1"/>
    <xf numFmtId="0" fontId="54" fillId="0" borderId="14" xfId="0" applyFont="1" applyBorder="1" applyProtection="1"/>
    <xf numFmtId="0" fontId="7" fillId="0" borderId="14" xfId="0" applyFont="1" applyFill="1" applyBorder="1" applyProtection="1"/>
    <xf numFmtId="170" fontId="54" fillId="0" borderId="41" xfId="0" applyNumberFormat="1" applyFont="1" applyBorder="1" applyProtection="1"/>
    <xf numFmtId="170" fontId="54" fillId="0" borderId="42" xfId="0" applyNumberFormat="1" applyFont="1" applyBorder="1" applyProtection="1"/>
    <xf numFmtId="170" fontId="54" fillId="0" borderId="45" xfId="0" applyNumberFormat="1" applyFont="1" applyBorder="1" applyProtection="1"/>
    <xf numFmtId="171" fontId="54" fillId="0" borderId="25" xfId="0" applyNumberFormat="1" applyFont="1" applyBorder="1" applyProtection="1"/>
    <xf numFmtId="0" fontId="50" fillId="0" borderId="0" xfId="0" quotePrefix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0" fontId="46" fillId="0" borderId="0" xfId="0" quotePrefix="1" applyFont="1" applyAlignment="1" applyProtection="1">
      <alignment horizontal="right"/>
    </xf>
    <xf numFmtId="0" fontId="68" fillId="0" borderId="0" xfId="0" quotePrefix="1" applyFont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51" fillId="27" borderId="0" xfId="117" applyNumberFormat="1" applyFont="1" applyFill="1" applyAlignment="1" applyProtection="1">
      <alignment horizontal="left"/>
    </xf>
    <xf numFmtId="0" fontId="39" fillId="0" borderId="17" xfId="0" applyFont="1" applyBorder="1" applyProtection="1"/>
    <xf numFmtId="0" fontId="39" fillId="0" borderId="18" xfId="0" applyFont="1" applyBorder="1" applyProtection="1"/>
    <xf numFmtId="0" fontId="7" fillId="0" borderId="18" xfId="0" applyFont="1" applyBorder="1" applyProtection="1"/>
    <xf numFmtId="170" fontId="39" fillId="0" borderId="19" xfId="117" applyNumberFormat="1" applyFont="1" applyBorder="1" applyProtection="1"/>
    <xf numFmtId="0" fontId="14" fillId="0" borderId="0" xfId="117" applyNumberFormat="1" applyFont="1" applyFill="1" applyAlignment="1" applyProtection="1">
      <alignment horizontal="left"/>
    </xf>
    <xf numFmtId="0" fontId="14" fillId="0" borderId="0" xfId="117" applyNumberFormat="1" applyFont="1" applyFill="1" applyBorder="1" applyAlignment="1" applyProtection="1">
      <alignment horizontal="left"/>
    </xf>
    <xf numFmtId="0" fontId="39" fillId="0" borderId="13" xfId="0" applyFont="1" applyBorder="1" applyProtection="1"/>
    <xf numFmtId="0" fontId="9" fillId="0" borderId="0" xfId="117" applyNumberFormat="1" applyFont="1" applyFill="1" applyBorder="1" applyAlignment="1" applyProtection="1">
      <alignment horizontal="left"/>
    </xf>
    <xf numFmtId="170" fontId="39" fillId="0" borderId="20" xfId="117" applyNumberFormat="1" applyFont="1" applyBorder="1" applyProtection="1"/>
    <xf numFmtId="0" fontId="39" fillId="0" borderId="0" xfId="0" applyFont="1" applyFill="1" applyProtection="1"/>
    <xf numFmtId="0" fontId="52" fillId="0" borderId="0" xfId="0" quotePrefix="1" applyFont="1" applyFill="1" applyAlignment="1" applyProtection="1">
      <alignment horizontal="left"/>
    </xf>
    <xf numFmtId="170" fontId="39" fillId="0" borderId="15" xfId="117" applyNumberFormat="1" applyFont="1" applyBorder="1" applyProtection="1"/>
    <xf numFmtId="170" fontId="7" fillId="0" borderId="6" xfId="117" applyNumberFormat="1" applyFont="1" applyBorder="1" applyProtection="1"/>
    <xf numFmtId="170" fontId="7" fillId="0" borderId="16" xfId="117" applyNumberFormat="1" applyFont="1" applyBorder="1" applyProtection="1"/>
    <xf numFmtId="0" fontId="53" fillId="0" borderId="0" xfId="0" applyFont="1" applyFill="1" applyAlignment="1" applyProtection="1"/>
    <xf numFmtId="0" fontId="55" fillId="0" borderId="0" xfId="0" applyFont="1" applyFill="1" applyAlignme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9" fillId="0" borderId="21" xfId="0" applyFont="1" applyFill="1" applyBorder="1" applyAlignment="1" applyProtection="1">
      <alignment horizontal="center"/>
    </xf>
    <xf numFmtId="0" fontId="61" fillId="28" borderId="2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13" xfId="0" quotePrefix="1" applyFont="1" applyFill="1" applyBorder="1" applyAlignment="1" applyProtection="1">
      <alignment horizontal="left"/>
    </xf>
    <xf numFmtId="170" fontId="54" fillId="27" borderId="14" xfId="117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9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54" fillId="27" borderId="14" xfId="0" applyFont="1" applyFill="1" applyBorder="1" applyAlignment="1" applyProtection="1">
      <alignment horizontal="right"/>
    </xf>
    <xf numFmtId="170" fontId="7" fillId="0" borderId="14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10" fontId="7" fillId="0" borderId="14" xfId="0" applyNumberFormat="1" applyFont="1" applyBorder="1" applyProtection="1"/>
    <xf numFmtId="170" fontId="7" fillId="0" borderId="14" xfId="117" applyNumberFormat="1" applyFont="1" applyBorder="1" applyProtection="1"/>
    <xf numFmtId="0" fontId="39" fillId="0" borderId="24" xfId="0" applyFont="1" applyBorder="1" applyAlignment="1" applyProtection="1">
      <alignment horizontal="center"/>
    </xf>
    <xf numFmtId="170" fontId="39" fillId="0" borderId="24" xfId="117" applyNumberFormat="1" applyFont="1" applyBorder="1" applyAlignment="1" applyProtection="1">
      <alignment horizontal="center"/>
    </xf>
    <xf numFmtId="170" fontId="39" fillId="27" borderId="19" xfId="117" quotePrefix="1" applyNumberFormat="1" applyFont="1" applyFill="1" applyBorder="1" applyAlignment="1" applyProtection="1">
      <alignment horizontal="center" wrapText="1"/>
    </xf>
    <xf numFmtId="170" fontId="39" fillId="0" borderId="19" xfId="117" quotePrefix="1" applyNumberFormat="1" applyFont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/>
    </xf>
    <xf numFmtId="170" fontId="39" fillId="0" borderId="24" xfId="117" quotePrefix="1" applyNumberFormat="1" applyFont="1" applyBorder="1" applyAlignment="1" applyProtection="1">
      <alignment horizontal="center" wrapText="1"/>
    </xf>
    <xf numFmtId="170" fontId="39" fillId="0" borderId="24" xfId="117" applyNumberFormat="1" applyFont="1" applyFill="1" applyBorder="1" applyAlignment="1" applyProtection="1">
      <alignment horizontal="center" wrapText="1"/>
    </xf>
    <xf numFmtId="170" fontId="39" fillId="0" borderId="24" xfId="117" applyNumberFormat="1" applyFont="1" applyBorder="1" applyAlignment="1" applyProtection="1">
      <alignment horizontal="center" wrapText="1"/>
    </xf>
    <xf numFmtId="0" fontId="39" fillId="0" borderId="26" xfId="0" applyFont="1" applyBorder="1" applyAlignment="1" applyProtection="1">
      <alignment horizontal="center"/>
    </xf>
    <xf numFmtId="170" fontId="39" fillId="27" borderId="16" xfId="117" applyNumberFormat="1" applyFont="1" applyFill="1" applyBorder="1" applyAlignment="1" applyProtection="1">
      <alignment horizontal="center"/>
    </xf>
    <xf numFmtId="170" fontId="39" fillId="0" borderId="16" xfId="117" applyNumberFormat="1" applyFont="1" applyBorder="1" applyAlignment="1" applyProtection="1">
      <alignment horizontal="center"/>
    </xf>
    <xf numFmtId="0" fontId="39" fillId="0" borderId="26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center"/>
    </xf>
    <xf numFmtId="170" fontId="39" fillId="0" borderId="26" xfId="117" applyNumberFormat="1" applyFont="1" applyBorder="1" applyAlignment="1" applyProtection="1">
      <alignment horizontal="center"/>
    </xf>
    <xf numFmtId="170" fontId="39" fillId="0" borderId="26" xfId="117" applyNumberFormat="1" applyFont="1" applyFill="1" applyBorder="1" applyAlignment="1" applyProtection="1">
      <alignment horizontal="center"/>
    </xf>
    <xf numFmtId="170" fontId="39" fillId="0" borderId="15" xfId="117" applyNumberFormat="1" applyFont="1" applyFill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170" fontId="54" fillId="27" borderId="0" xfId="0" applyNumberFormat="1" applyFont="1" applyFill="1" applyBorder="1" applyProtection="1"/>
    <xf numFmtId="170" fontId="54" fillId="27" borderId="24" xfId="117" applyNumberFormat="1" applyFont="1" applyFill="1" applyBorder="1" applyProtection="1"/>
    <xf numFmtId="171" fontId="7" fillId="0" borderId="14" xfId="0" applyNumberFormat="1" applyFont="1" applyBorder="1" applyProtection="1"/>
    <xf numFmtId="171" fontId="54" fillId="0" borderId="25" xfId="0" applyNumberFormat="1" applyFont="1" applyFill="1" applyBorder="1" applyProtection="1"/>
    <xf numFmtId="171" fontId="7" fillId="0" borderId="24" xfId="0" applyNumberFormat="1" applyFont="1" applyBorder="1" applyProtection="1"/>
    <xf numFmtId="171" fontId="7" fillId="0" borderId="25" xfId="0" applyNumberFormat="1" applyFont="1" applyBorder="1" applyProtection="1"/>
    <xf numFmtId="170" fontId="54" fillId="27" borderId="25" xfId="0" applyNumberFormat="1" applyFont="1" applyFill="1" applyBorder="1" applyProtection="1"/>
    <xf numFmtId="170" fontId="54" fillId="27" borderId="25" xfId="117" applyNumberFormat="1" applyFont="1" applyFill="1" applyBorder="1" applyProtection="1"/>
    <xf numFmtId="170" fontId="54" fillId="27" borderId="14" xfId="117" applyNumberFormat="1" applyFont="1" applyFill="1" applyBorder="1" applyProtection="1"/>
    <xf numFmtId="0" fontId="7" fillId="0" borderId="25" xfId="0" applyNumberFormat="1" applyFont="1" applyFill="1" applyBorder="1" applyAlignment="1" applyProtection="1">
      <alignment horizontal="center"/>
    </xf>
    <xf numFmtId="170" fontId="7" fillId="0" borderId="25" xfId="0" applyNumberFormat="1" applyFont="1" applyFill="1" applyBorder="1" applyProtection="1"/>
    <xf numFmtId="170" fontId="1" fillId="0" borderId="25" xfId="117" applyNumberFormat="1" applyBorder="1" applyProtection="1"/>
    <xf numFmtId="170" fontId="7" fillId="0" borderId="25" xfId="0" applyNumberFormat="1" applyFont="1" applyBorder="1" applyProtection="1"/>
    <xf numFmtId="170" fontId="7" fillId="0" borderId="25" xfId="117" applyNumberFormat="1" applyFont="1" applyBorder="1" applyProtection="1"/>
    <xf numFmtId="171" fontId="54" fillId="27" borderId="25" xfId="0" applyNumberFormat="1" applyFont="1" applyFill="1" applyBorder="1" applyProtection="1"/>
    <xf numFmtId="170" fontId="7" fillId="0" borderId="25" xfId="117" applyNumberFormat="1" applyFont="1" applyFill="1" applyBorder="1" applyProtection="1"/>
    <xf numFmtId="0" fontId="7" fillId="0" borderId="26" xfId="0" applyNumberFormat="1" applyFont="1" applyBorder="1" applyAlignment="1" applyProtection="1">
      <alignment horizontal="center"/>
    </xf>
    <xf numFmtId="170" fontId="7" fillId="0" borderId="26" xfId="0" applyNumberFormat="1" applyFont="1" applyBorder="1" applyProtection="1"/>
    <xf numFmtId="170" fontId="1" fillId="0" borderId="26" xfId="117" applyNumberFormat="1" applyBorder="1" applyProtection="1"/>
    <xf numFmtId="170" fontId="7" fillId="0" borderId="26" xfId="117" applyNumberFormat="1" applyFont="1" applyFill="1" applyBorder="1" applyProtection="1"/>
    <xf numFmtId="171" fontId="7" fillId="0" borderId="16" xfId="0" applyNumberFormat="1" applyFont="1" applyBorder="1" applyProtection="1"/>
    <xf numFmtId="171" fontId="54" fillId="27" borderId="26" xfId="0" applyNumberFormat="1" applyFont="1" applyFill="1" applyBorder="1" applyProtection="1"/>
    <xf numFmtId="171" fontId="7" fillId="0" borderId="26" xfId="0" applyNumberFormat="1" applyFont="1" applyBorder="1" applyProtection="1"/>
    <xf numFmtId="0" fontId="53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69" fillId="0" borderId="0" xfId="0" applyFont="1" applyProtection="1"/>
    <xf numFmtId="0" fontId="7" fillId="0" borderId="0" xfId="0" applyFont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9" fillId="0" borderId="0" xfId="0" applyFont="1" applyFill="1" applyProtection="1"/>
    <xf numFmtId="0" fontId="39" fillId="0" borderId="28" xfId="0" applyFont="1" applyFill="1" applyBorder="1" applyAlignment="1" applyProtection="1">
      <alignment horizontal="center"/>
    </xf>
    <xf numFmtId="169" fontId="7" fillId="0" borderId="29" xfId="549" applyFont="1" applyBorder="1" applyAlignment="1" applyProtection="1">
      <alignment horizontal="center"/>
    </xf>
    <xf numFmtId="169" fontId="7" fillId="0" borderId="29" xfId="549" quotePrefix="1" applyFont="1" applyBorder="1" applyAlignment="1" applyProtection="1">
      <alignment horizontal="center"/>
    </xf>
    <xf numFmtId="3" fontId="7" fillId="0" borderId="30" xfId="549" applyNumberFormat="1" applyFont="1" applyBorder="1" applyAlignment="1" applyProtection="1">
      <alignment horizontal="center"/>
    </xf>
    <xf numFmtId="0" fontId="55" fillId="0" borderId="24" xfId="0" applyFont="1" applyBorder="1" applyProtection="1"/>
    <xf numFmtId="170" fontId="7" fillId="0" borderId="13" xfId="117" quotePrefix="1" applyNumberFormat="1" applyFont="1" applyBorder="1" applyAlignment="1" applyProtection="1">
      <alignment horizontal="right"/>
    </xf>
    <xf numFmtId="170" fontId="39" fillId="0" borderId="0" xfId="117" applyNumberFormat="1" applyFont="1" applyBorder="1" applyProtection="1"/>
    <xf numFmtId="170" fontId="7" fillId="0" borderId="14" xfId="0" applyNumberFormat="1" applyFont="1" applyBorder="1" applyProtection="1"/>
    <xf numFmtId="0" fontId="57" fillId="0" borderId="31" xfId="117" applyNumberFormat="1" applyFont="1" applyFill="1" applyBorder="1" applyAlignment="1" applyProtection="1">
      <alignment horizontal="left"/>
    </xf>
    <xf numFmtId="170" fontId="7" fillId="0" borderId="32" xfId="117" quotePrefix="1" applyNumberFormat="1" applyFont="1" applyBorder="1" applyAlignment="1" applyProtection="1">
      <alignment horizontal="right"/>
    </xf>
    <xf numFmtId="170" fontId="39" fillId="0" borderId="11" xfId="117" applyNumberFormat="1" applyFont="1" applyBorder="1" applyProtection="1"/>
    <xf numFmtId="170" fontId="7" fillId="0" borderId="20" xfId="0" applyNumberFormat="1" applyFont="1" applyBorder="1" applyProtection="1"/>
    <xf numFmtId="0" fontId="52" fillId="0" borderId="0" xfId="0" applyFont="1" applyAlignment="1" applyProtection="1">
      <alignment horizontal="left"/>
    </xf>
    <xf numFmtId="170" fontId="55" fillId="0" borderId="26" xfId="117" applyNumberFormat="1" applyFont="1" applyBorder="1" applyProtection="1"/>
    <xf numFmtId="0" fontId="7" fillId="0" borderId="15" xfId="0" quotePrefix="1" applyFont="1" applyBorder="1" applyAlignment="1" applyProtection="1">
      <alignment horizontal="right"/>
    </xf>
    <xf numFmtId="170" fontId="39" fillId="0" borderId="6" xfId="117" applyNumberFormat="1" applyFont="1" applyFill="1" applyBorder="1" applyAlignment="1" applyProtection="1">
      <alignment horizontal="left"/>
    </xf>
    <xf numFmtId="170" fontId="39" fillId="0" borderId="16" xfId="117" applyNumberFormat="1" applyFont="1" applyFill="1" applyBorder="1" applyAlignment="1" applyProtection="1">
      <alignment horizontal="left"/>
    </xf>
    <xf numFmtId="170" fontId="55" fillId="0" borderId="0" xfId="0" applyNumberFormat="1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Fill="1" applyBorder="1" applyAlignment="1" applyProtection="1"/>
    <xf numFmtId="0" fontId="7" fillId="0" borderId="14" xfId="0" applyFont="1" applyFill="1" applyBorder="1" applyAlignment="1" applyProtection="1">
      <alignment horizontal="right"/>
    </xf>
    <xf numFmtId="170" fontId="7" fillId="0" borderId="14" xfId="117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5" xfId="0" applyFont="1" applyBorder="1" applyProtection="1"/>
    <xf numFmtId="0" fontId="7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39" fillId="0" borderId="24" xfId="0" applyFont="1" applyBorder="1" applyAlignment="1" applyProtection="1">
      <alignment horizontal="center" wrapText="1"/>
    </xf>
    <xf numFmtId="170" fontId="39" fillId="0" borderId="0" xfId="117" applyNumberFormat="1" applyFont="1" applyBorder="1" applyAlignment="1" applyProtection="1">
      <alignment horizontal="center" wrapText="1"/>
    </xf>
    <xf numFmtId="170" fontId="39" fillId="27" borderId="24" xfId="117" quotePrefix="1" applyNumberFormat="1" applyFont="1" applyFill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 wrapText="1"/>
    </xf>
    <xf numFmtId="0" fontId="39" fillId="0" borderId="6" xfId="0" applyFont="1" applyBorder="1" applyAlignment="1" applyProtection="1">
      <alignment horizontal="center"/>
    </xf>
    <xf numFmtId="170" fontId="39" fillId="27" borderId="26" xfId="117" applyNumberFormat="1" applyFont="1" applyFill="1" applyBorder="1" applyAlignment="1" applyProtection="1">
      <alignment horizontal="center"/>
    </xf>
    <xf numFmtId="170" fontId="54" fillId="27" borderId="24" xfId="0" applyNumberFormat="1" applyFont="1" applyFill="1" applyBorder="1" applyProtection="1"/>
    <xf numFmtId="168" fontId="54" fillId="27" borderId="25" xfId="117" applyNumberFormat="1" applyFont="1" applyFill="1" applyBorder="1" applyProtection="1"/>
    <xf numFmtId="168" fontId="54" fillId="27" borderId="14" xfId="117" applyNumberFormat="1" applyFont="1" applyFill="1" applyBorder="1" applyProtection="1"/>
    <xf numFmtId="171" fontId="54" fillId="29" borderId="25" xfId="0" applyNumberFormat="1" applyFont="1" applyFill="1" applyBorder="1" applyProtection="1"/>
    <xf numFmtId="171" fontId="7" fillId="29" borderId="25" xfId="0" applyNumberFormat="1" applyFont="1" applyFill="1" applyBorder="1" applyProtection="1"/>
    <xf numFmtId="170" fontId="7" fillId="0" borderId="14" xfId="117" applyNumberFormat="1" applyFont="1" applyFill="1" applyBorder="1" applyProtection="1"/>
    <xf numFmtId="170" fontId="7" fillId="0" borderId="6" xfId="0" applyNumberFormat="1" applyFont="1" applyBorder="1" applyProtection="1"/>
    <xf numFmtId="170" fontId="7" fillId="0" borderId="26" xfId="117" applyNumberFormat="1" applyFont="1" applyBorder="1" applyProtection="1"/>
    <xf numFmtId="170" fontId="7" fillId="0" borderId="16" xfId="117" applyNumberFormat="1" applyFont="1" applyFill="1" applyBorder="1" applyProtection="1"/>
    <xf numFmtId="0" fontId="55" fillId="0" borderId="0" xfId="0" applyFont="1" applyProtection="1"/>
    <xf numFmtId="0" fontId="58" fillId="0" borderId="0" xfId="0" applyFont="1" applyFill="1" applyProtection="1"/>
    <xf numFmtId="0" fontId="46" fillId="0" borderId="0" xfId="0" applyFont="1" applyAlignment="1" applyProtection="1">
      <alignment horizontal="center"/>
    </xf>
    <xf numFmtId="0" fontId="68" fillId="0" borderId="0" xfId="0" applyFont="1" applyProtection="1"/>
    <xf numFmtId="171" fontId="7" fillId="0" borderId="25" xfId="0" applyNumberFormat="1" applyFont="1" applyFill="1" applyBorder="1" applyProtection="1"/>
    <xf numFmtId="175" fontId="5" fillId="0" borderId="14" xfId="0" applyNumberFormat="1" applyFont="1" applyBorder="1" applyProtection="1"/>
    <xf numFmtId="176" fontId="7" fillId="0" borderId="14" xfId="117" applyNumberFormat="1" applyFont="1" applyBorder="1" applyProtection="1"/>
    <xf numFmtId="171" fontId="46" fillId="0" borderId="0" xfId="0" quotePrefix="1" applyNumberFormat="1" applyFont="1" applyBorder="1" applyAlignment="1" applyProtection="1">
      <alignment horizontal="center"/>
    </xf>
    <xf numFmtId="171" fontId="54" fillId="0" borderId="24" xfId="0" applyNumberFormat="1" applyFont="1" applyFill="1" applyBorder="1" applyProtection="1"/>
    <xf numFmtId="0" fontId="50" fillId="0" borderId="0" xfId="0" applyFont="1" applyProtection="1"/>
    <xf numFmtId="43" fontId="0" fillId="0" borderId="0" xfId="117" applyFont="1" applyProtection="1"/>
    <xf numFmtId="170" fontId="39" fillId="0" borderId="25" xfId="117" applyNumberFormat="1" applyFont="1" applyBorder="1" applyAlignment="1" applyProtection="1">
      <alignment horizontal="center"/>
    </xf>
    <xf numFmtId="170" fontId="54" fillId="27" borderId="0" xfId="0" quotePrefix="1" applyNumberFormat="1" applyFont="1" applyFill="1" applyBorder="1" applyAlignment="1" applyProtection="1">
      <alignment horizontal="left"/>
    </xf>
    <xf numFmtId="171" fontId="7" fillId="0" borderId="19" xfId="0" applyNumberFormat="1" applyFont="1" applyBorder="1" applyProtection="1"/>
    <xf numFmtId="0" fontId="39" fillId="0" borderId="13" xfId="0" applyFont="1" applyFill="1" applyBorder="1" applyAlignment="1" applyProtection="1">
      <alignment horizontal="center"/>
    </xf>
    <xf numFmtId="170" fontId="64" fillId="27" borderId="25" xfId="117" applyNumberFormat="1" applyFont="1" applyFill="1" applyBorder="1" applyProtection="1"/>
    <xf numFmtId="171" fontId="7" fillId="0" borderId="24" xfId="0" applyNumberFormat="1" applyFont="1" applyFill="1" applyBorder="1" applyProtection="1"/>
    <xf numFmtId="0" fontId="55" fillId="0" borderId="0" xfId="0" quotePrefix="1" applyFont="1" applyAlignment="1" applyProtection="1">
      <alignment horizontal="left"/>
    </xf>
    <xf numFmtId="0" fontId="52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71" fontId="54" fillId="29" borderId="24" xfId="0" applyNumberFormat="1" applyFont="1" applyFill="1" applyBorder="1" applyProtection="1"/>
    <xf numFmtId="171" fontId="7" fillId="29" borderId="24" xfId="0" applyNumberFormat="1" applyFont="1" applyFill="1" applyBorder="1" applyProtection="1"/>
    <xf numFmtId="0" fontId="84" fillId="0" borderId="0" xfId="549" applyNumberFormat="1" applyFont="1" applyFill="1" applyBorder="1" applyAlignment="1" applyProtection="1"/>
    <xf numFmtId="0" fontId="83" fillId="0" borderId="0" xfId="0" applyFont="1" applyAlignment="1" applyProtection="1">
      <alignment horizontal="left"/>
    </xf>
    <xf numFmtId="0" fontId="83" fillId="0" borderId="0" xfId="549" applyNumberFormat="1" applyFont="1" applyFill="1" applyBorder="1" applyAlignment="1" applyProtection="1"/>
    <xf numFmtId="0" fontId="61" fillId="28" borderId="22" xfId="0" quotePrefix="1" applyFont="1" applyFill="1" applyBorder="1" applyAlignment="1" applyProtection="1">
      <alignment horizontal="center"/>
    </xf>
    <xf numFmtId="170" fontId="54" fillId="27" borderId="13" xfId="0" applyNumberFormat="1" applyFont="1" applyFill="1" applyBorder="1" applyProtection="1"/>
    <xf numFmtId="171" fontId="7" fillId="0" borderId="13" xfId="0" applyNumberFormat="1" applyFont="1" applyBorder="1" applyProtection="1"/>
    <xf numFmtId="171" fontId="7" fillId="29" borderId="0" xfId="0" applyNumberFormat="1" applyFont="1" applyFill="1" applyBorder="1" applyProtection="1"/>
    <xf numFmtId="170" fontId="7" fillId="0" borderId="15" xfId="0" applyNumberFormat="1" applyFont="1" applyBorder="1" applyProtection="1"/>
    <xf numFmtId="0" fontId="7" fillId="0" borderId="22" xfId="0" applyFont="1" applyFill="1" applyBorder="1" applyAlignment="1" applyProtection="1">
      <alignment horizontal="left"/>
    </xf>
    <xf numFmtId="170" fontId="82" fillId="27" borderId="0" xfId="0" applyNumberFormat="1" applyFont="1" applyFill="1" applyBorder="1" applyProtection="1"/>
    <xf numFmtId="170" fontId="82" fillId="27" borderId="25" xfId="117" applyNumberFormat="1" applyFont="1" applyFill="1" applyBorder="1" applyProtection="1"/>
    <xf numFmtId="170" fontId="82" fillId="27" borderId="25" xfId="0" applyNumberFormat="1" applyFont="1" applyFill="1" applyBorder="1" applyProtection="1"/>
    <xf numFmtId="170" fontId="82" fillId="27" borderId="24" xfId="0" applyNumberFormat="1" applyFont="1" applyFill="1" applyBorder="1" applyProtection="1"/>
    <xf numFmtId="168" fontId="82" fillId="27" borderId="25" xfId="117" applyNumberFormat="1" applyFont="1" applyFill="1" applyBorder="1" applyProtection="1"/>
    <xf numFmtId="168" fontId="82" fillId="27" borderId="14" xfId="117" applyNumberFormat="1" applyFont="1" applyFill="1" applyBorder="1" applyProtection="1"/>
    <xf numFmtId="170" fontId="85" fillId="27" borderId="0" xfId="0" applyNumberFormat="1" applyFont="1" applyFill="1" applyBorder="1" applyProtection="1"/>
    <xf numFmtId="170" fontId="85" fillId="27" borderId="25" xfId="117" applyNumberFormat="1" applyFont="1" applyFill="1" applyBorder="1" applyProtection="1"/>
    <xf numFmtId="170" fontId="85" fillId="27" borderId="25" xfId="0" applyNumberFormat="1" applyFont="1" applyFill="1" applyBorder="1" applyProtection="1"/>
    <xf numFmtId="170" fontId="85" fillId="27" borderId="14" xfId="117" applyNumberFormat="1" applyFont="1" applyFill="1" applyBorder="1" applyProtection="1"/>
    <xf numFmtId="170" fontId="54" fillId="27" borderId="14" xfId="0" applyNumberFormat="1" applyFont="1" applyFill="1" applyBorder="1" applyProtection="1"/>
    <xf numFmtId="171" fontId="7" fillId="0" borderId="18" xfId="0" applyNumberFormat="1" applyFont="1" applyFill="1" applyBorder="1" applyProtection="1"/>
    <xf numFmtId="0" fontId="0" fillId="0" borderId="24" xfId="0" applyBorder="1" applyAlignment="1" applyProtection="1">
      <alignment horizontal="center"/>
    </xf>
    <xf numFmtId="43" fontId="77" fillId="27" borderId="24" xfId="117" applyFont="1" applyFill="1" applyBorder="1" applyAlignment="1" applyProtection="1">
      <alignment horizontal="right"/>
    </xf>
    <xf numFmtId="43" fontId="77" fillId="27" borderId="24" xfId="117" applyFont="1" applyFill="1" applyBorder="1" applyProtection="1"/>
    <xf numFmtId="43" fontId="1" fillId="27" borderId="24" xfId="117" applyFill="1" applyBorder="1" applyProtection="1"/>
    <xf numFmtId="43" fontId="0" fillId="0" borderId="24" xfId="117" applyFont="1" applyBorder="1" applyProtection="1"/>
    <xf numFmtId="43" fontId="77" fillId="27" borderId="25" xfId="117" applyFont="1" applyFill="1" applyBorder="1" applyAlignment="1" applyProtection="1">
      <alignment horizontal="center"/>
    </xf>
    <xf numFmtId="43" fontId="77" fillId="27" borderId="25" xfId="117" applyFont="1" applyFill="1" applyBorder="1" applyProtection="1"/>
    <xf numFmtId="43" fontId="1" fillId="27" borderId="25" xfId="117" applyFill="1" applyBorder="1" applyProtection="1"/>
    <xf numFmtId="43" fontId="0" fillId="0" borderId="25" xfId="117" applyFont="1" applyBorder="1" applyProtection="1"/>
    <xf numFmtId="0" fontId="52" fillId="27" borderId="0" xfId="0" applyFont="1" applyFill="1" applyAlignment="1" applyProtection="1">
      <alignment horizontal="left"/>
    </xf>
    <xf numFmtId="0" fontId="7" fillId="27" borderId="0" xfId="0" applyFont="1" applyFill="1" applyProtection="1"/>
    <xf numFmtId="170" fontId="82" fillId="27" borderId="24" xfId="117" applyNumberFormat="1" applyFont="1" applyFill="1" applyBorder="1" applyProtection="1"/>
    <xf numFmtId="170" fontId="82" fillId="27" borderId="14" xfId="117" applyNumberFormat="1" applyFont="1" applyFill="1" applyBorder="1" applyProtection="1"/>
    <xf numFmtId="171" fontId="7" fillId="0" borderId="0" xfId="0" applyNumberFormat="1" applyFont="1" applyFill="1" applyBorder="1" applyProtection="1"/>
    <xf numFmtId="170" fontId="7" fillId="0" borderId="14" xfId="117" quotePrefix="1" applyNumberFormat="1" applyFont="1" applyFill="1" applyBorder="1" applyAlignment="1" applyProtection="1">
      <alignment horizontal="right"/>
    </xf>
    <xf numFmtId="170" fontId="85" fillId="27" borderId="24" xfId="0" applyNumberFormat="1" applyFont="1" applyFill="1" applyBorder="1" applyProtection="1"/>
    <xf numFmtId="168" fontId="85" fillId="27" borderId="25" xfId="117" applyNumberFormat="1" applyFont="1" applyFill="1" applyBorder="1" applyProtection="1"/>
    <xf numFmtId="168" fontId="85" fillId="27" borderId="14" xfId="117" applyNumberFormat="1" applyFont="1" applyFill="1" applyBorder="1" applyProtection="1"/>
    <xf numFmtId="170" fontId="85" fillId="27" borderId="24" xfId="117" applyNumberFormat="1" applyFont="1" applyFill="1" applyBorder="1" applyProtection="1"/>
    <xf numFmtId="170" fontId="85" fillId="27" borderId="14" xfId="117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0" fontId="7" fillId="0" borderId="0" xfId="0" applyNumberFormat="1" applyFont="1" applyAlignment="1" applyProtection="1">
      <alignment horizontal="left"/>
    </xf>
    <xf numFmtId="170" fontId="7" fillId="0" borderId="26" xfId="0" applyNumberFormat="1" applyFont="1" applyFill="1" applyBorder="1" applyProtection="1"/>
    <xf numFmtId="170" fontId="54" fillId="0" borderId="26" xfId="117" applyNumberFormat="1" applyFont="1" applyFill="1" applyBorder="1" applyProtection="1"/>
    <xf numFmtId="170" fontId="54" fillId="0" borderId="16" xfId="117" applyNumberFormat="1" applyFont="1" applyFill="1" applyBorder="1" applyProtection="1"/>
    <xf numFmtId="170" fontId="7" fillId="0" borderId="24" xfId="0" applyNumberFormat="1" applyFont="1" applyBorder="1" applyProtection="1"/>
    <xf numFmtId="171" fontId="54" fillId="27" borderId="24" xfId="0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>
      <alignment horizontal="left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170" fontId="1" fillId="61" borderId="0" xfId="0" applyNumberFormat="1" applyFont="1" applyFill="1" applyBorder="1" applyProtection="1"/>
    <xf numFmtId="170" fontId="1" fillId="61" borderId="24" xfId="117" applyNumberFormat="1" applyFont="1" applyFill="1" applyBorder="1" applyProtection="1"/>
    <xf numFmtId="170" fontId="1" fillId="61" borderId="25" xfId="0" applyNumberFormat="1" applyFont="1" applyFill="1" applyBorder="1" applyProtection="1"/>
    <xf numFmtId="170" fontId="1" fillId="61" borderId="14" xfId="117" applyNumberFormat="1" applyFont="1" applyFill="1" applyBorder="1" applyProtection="1"/>
    <xf numFmtId="170" fontId="122" fillId="61" borderId="0" xfId="0" applyNumberFormat="1" applyFont="1" applyFill="1" applyBorder="1" applyProtection="1"/>
    <xf numFmtId="170" fontId="122" fillId="61" borderId="25" xfId="117" applyNumberFormat="1" applyFont="1" applyFill="1" applyBorder="1" applyProtection="1"/>
    <xf numFmtId="170" fontId="122" fillId="61" borderId="14" xfId="117" applyNumberFormat="1" applyFont="1" applyFill="1" applyBorder="1" applyProtection="1"/>
    <xf numFmtId="0" fontId="39" fillId="0" borderId="11" xfId="0" applyFont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wrapText="1"/>
    </xf>
    <xf numFmtId="169" fontId="7" fillId="0" borderId="17" xfId="549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9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46" fillId="0" borderId="0" xfId="0" applyNumberFormat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490" applyFont="1" applyBorder="1" applyAlignment="1" applyProtection="1">
      <alignment horizontal="center"/>
    </xf>
    <xf numFmtId="0" fontId="6" fillId="0" borderId="0" xfId="490" quotePrefix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735">
    <cellStyle name="20% - Accent1" xfId="1" builtinId="30" customBuiltin="1"/>
    <cellStyle name="20% - Accent1 2" xfId="2"/>
    <cellStyle name="20% - Accent1 2 2" xfId="3"/>
    <cellStyle name="20% - Accent2" xfId="4" builtinId="34" customBuiltin="1"/>
    <cellStyle name="20% - Accent2 2" xfId="5"/>
    <cellStyle name="20% - Accent2 2 2" xfId="6"/>
    <cellStyle name="20% - Accent3" xfId="7" builtinId="38" customBuiltin="1"/>
    <cellStyle name="20% - Accent3 2" xfId="8"/>
    <cellStyle name="20% - Accent3 2 2" xfId="9"/>
    <cellStyle name="20% - Accent4" xfId="10" builtinId="42" customBuiltin="1"/>
    <cellStyle name="20% - Accent4 2" xfId="11"/>
    <cellStyle name="20% - Accent4 2 2" xfId="12"/>
    <cellStyle name="20% - Accent5" xfId="13" builtinId="46" customBuiltin="1"/>
    <cellStyle name="20% - Accent5 2" xfId="14"/>
    <cellStyle name="20% - Accent5 2 2" xfId="15"/>
    <cellStyle name="20% - Accent6" xfId="16" builtinId="50" customBuiltin="1"/>
    <cellStyle name="20% - Accent6 2" xfId="17"/>
    <cellStyle name="20% - Accent6 2 2" xfId="18"/>
    <cellStyle name="40% - Accent1" xfId="19" builtinId="31" customBuiltin="1"/>
    <cellStyle name="40% - Accent1 2" xfId="20"/>
    <cellStyle name="40% - Accent1 2 2" xfId="21"/>
    <cellStyle name="40% - Accent2" xfId="22" builtinId="35" customBuiltin="1"/>
    <cellStyle name="40% - Accent2 2" xfId="23"/>
    <cellStyle name="40% - Accent2 2 2" xfId="24"/>
    <cellStyle name="40% - Accent3" xfId="25" builtinId="39" customBuiltin="1"/>
    <cellStyle name="40% - Accent3 2" xfId="26"/>
    <cellStyle name="40% - Accent3 2 2" xfId="27"/>
    <cellStyle name="40% - Accent4" xfId="28" builtinId="43" customBuiltin="1"/>
    <cellStyle name="40% - Accent4 2" xfId="29"/>
    <cellStyle name="40% - Accent4 2 2" xfId="30"/>
    <cellStyle name="40% - Accent5" xfId="31" builtinId="47" customBuiltin="1"/>
    <cellStyle name="40% - Accent5 2" xfId="32"/>
    <cellStyle name="40% - Accent5 2 2" xfId="33"/>
    <cellStyle name="40% - Accent6" xfId="34" builtinId="51" customBuiltin="1"/>
    <cellStyle name="40% - Accent6 2" xfId="35"/>
    <cellStyle name="40% - Accent6 2 2" xfId="36"/>
    <cellStyle name="60% - Accent1" xfId="37" builtinId="32" customBuiltin="1"/>
    <cellStyle name="60% - Accent1 2" xfId="38"/>
    <cellStyle name="60% - Accent1 2 2" xfId="39"/>
    <cellStyle name="60% - Accent2" xfId="40" builtinId="36" customBuiltin="1"/>
    <cellStyle name="60% - Accent2 2" xfId="41"/>
    <cellStyle name="60% - Accent2 2 2" xfId="42"/>
    <cellStyle name="60% - Accent3" xfId="43" builtinId="40" customBuiltin="1"/>
    <cellStyle name="60% - Accent3 2" xfId="44"/>
    <cellStyle name="60% - Accent3 2 2" xfId="45"/>
    <cellStyle name="60% - Accent4" xfId="46" builtinId="44" customBuiltin="1"/>
    <cellStyle name="60% - Accent4 2" xfId="47"/>
    <cellStyle name="60% - Accent4 2 2" xfId="48"/>
    <cellStyle name="60% - Accent5" xfId="49" builtinId="48" customBuiltin="1"/>
    <cellStyle name="60% - Accent5 2" xfId="50"/>
    <cellStyle name="60% - Accent5 2 2" xfId="51"/>
    <cellStyle name="60% - Accent6" xfId="52" builtinId="52" customBuiltin="1"/>
    <cellStyle name="60% - Accent6 2" xfId="53"/>
    <cellStyle name="60% - Accent6 2 2" xfId="54"/>
    <cellStyle name="Accent1" xfId="55" builtinId="29" customBuiltin="1"/>
    <cellStyle name="Accent1 2" xfId="56"/>
    <cellStyle name="Accent1 2 2" xfId="57"/>
    <cellStyle name="Accent2" xfId="58" builtinId="33" customBuiltin="1"/>
    <cellStyle name="Accent2 2" xfId="59"/>
    <cellStyle name="Accent2 2 2" xfId="60"/>
    <cellStyle name="Accent3" xfId="61" builtinId="37" customBuiltin="1"/>
    <cellStyle name="Accent3 2" xfId="62"/>
    <cellStyle name="Accent3 2 2" xfId="63"/>
    <cellStyle name="Accent4" xfId="64" builtinId="41" customBuiltin="1"/>
    <cellStyle name="Accent4 2" xfId="65"/>
    <cellStyle name="Accent4 2 2" xfId="66"/>
    <cellStyle name="Accent5" xfId="67" builtinId="45" customBuiltin="1"/>
    <cellStyle name="Accent5 2" xfId="68"/>
    <cellStyle name="Accent5 2 2" xfId="69"/>
    <cellStyle name="Accent6" xfId="70" builtinId="49" customBuiltin="1"/>
    <cellStyle name="Accent6 2" xfId="71"/>
    <cellStyle name="Accent6 2 2" xfId="72"/>
    <cellStyle name="Bad" xfId="73" builtinId="27" customBuiltin="1"/>
    <cellStyle name="Bad 2" xfId="74"/>
    <cellStyle name="Bad 2 2" xfId="75"/>
    <cellStyle name="C00A" xfId="76"/>
    <cellStyle name="C00B" xfId="77"/>
    <cellStyle name="C00L" xfId="78"/>
    <cellStyle name="C01A" xfId="79"/>
    <cellStyle name="C01B" xfId="80"/>
    <cellStyle name="C01B 2" xfId="81"/>
    <cellStyle name="C01H" xfId="82"/>
    <cellStyle name="C01L" xfId="83"/>
    <cellStyle name="C02A" xfId="84"/>
    <cellStyle name="C02B" xfId="85"/>
    <cellStyle name="C02B 2" xfId="86"/>
    <cellStyle name="C02H" xfId="87"/>
    <cellStyle name="C02L" xfId="88"/>
    <cellStyle name="C03A" xfId="89"/>
    <cellStyle name="C03B" xfId="90"/>
    <cellStyle name="C03H" xfId="91"/>
    <cellStyle name="C03L" xfId="92"/>
    <cellStyle name="C04A" xfId="93"/>
    <cellStyle name="C04A 2" xfId="94"/>
    <cellStyle name="C04B" xfId="95"/>
    <cellStyle name="C04H" xfId="96"/>
    <cellStyle name="C04L" xfId="97"/>
    <cellStyle name="C05A" xfId="98"/>
    <cellStyle name="C05B" xfId="99"/>
    <cellStyle name="C05H" xfId="100"/>
    <cellStyle name="C05L" xfId="101"/>
    <cellStyle name="C05L 2" xfId="102"/>
    <cellStyle name="C06A" xfId="103"/>
    <cellStyle name="C06B" xfId="104"/>
    <cellStyle name="C06H" xfId="105"/>
    <cellStyle name="C06L" xfId="106"/>
    <cellStyle name="C07A" xfId="107"/>
    <cellStyle name="C07B" xfId="108"/>
    <cellStyle name="C07H" xfId="109"/>
    <cellStyle name="C07L" xfId="110"/>
    <cellStyle name="Calculation" xfId="111" builtinId="22" customBuiltin="1"/>
    <cellStyle name="Calculation 2" xfId="112"/>
    <cellStyle name="Calculation 2 2" xfId="113"/>
    <cellStyle name="Check Cell" xfId="114" builtinId="23" customBuiltin="1"/>
    <cellStyle name="Check Cell 2" xfId="115"/>
    <cellStyle name="Check Cell 2 2" xfId="116"/>
    <cellStyle name="Comma" xfId="117" builtinId="3"/>
    <cellStyle name="Comma [0] 2" xfId="118"/>
    <cellStyle name="Comma [0] 2 2" xfId="119"/>
    <cellStyle name="Comma 10" xfId="120"/>
    <cellStyle name="Comma 11" xfId="121"/>
    <cellStyle name="Comma 12" xfId="122"/>
    <cellStyle name="Comma 13" xfId="123"/>
    <cellStyle name="Comma 14" xfId="124"/>
    <cellStyle name="Comma 15" xfId="125"/>
    <cellStyle name="Comma 16" xfId="126"/>
    <cellStyle name="Comma 17" xfId="127"/>
    <cellStyle name="Comma 18" xfId="128"/>
    <cellStyle name="Comma 19" xfId="129"/>
    <cellStyle name="Comma 2" xfId="130"/>
    <cellStyle name="Comma 2 2" xfId="131"/>
    <cellStyle name="Comma 2 2 2" xfId="132"/>
    <cellStyle name="Comma 2 3" xfId="133"/>
    <cellStyle name="Comma 2 3 2" xfId="134"/>
    <cellStyle name="Comma 2 3 3" xfId="135"/>
    <cellStyle name="Comma 2 3 4" xfId="136"/>
    <cellStyle name="Comma 2 4" xfId="137"/>
    <cellStyle name="Comma 20" xfId="138"/>
    <cellStyle name="Comma 21" xfId="139"/>
    <cellStyle name="Comma 22" xfId="140"/>
    <cellStyle name="Comma 23" xfId="141"/>
    <cellStyle name="Comma 24" xfId="142"/>
    <cellStyle name="Comma 25" xfId="143"/>
    <cellStyle name="Comma 25 2" xfId="144"/>
    <cellStyle name="Comma 26" xfId="145"/>
    <cellStyle name="Comma 26 2" xfId="146"/>
    <cellStyle name="Comma 27" xfId="147"/>
    <cellStyle name="Comma 27 2" xfId="148"/>
    <cellStyle name="Comma 28" xfId="149"/>
    <cellStyle name="Comma 28 2" xfId="150"/>
    <cellStyle name="Comma 29" xfId="151"/>
    <cellStyle name="Comma 29 2" xfId="152"/>
    <cellStyle name="Comma 3" xfId="153"/>
    <cellStyle name="Comma 3 2" xfId="154"/>
    <cellStyle name="Comma 3 2 2" xfId="155"/>
    <cellStyle name="Comma 3 3" xfId="156"/>
    <cellStyle name="Comma 3 3 2" xfId="157"/>
    <cellStyle name="Comma 3 3 2 2" xfId="158"/>
    <cellStyle name="Comma 3 3 2 3" xfId="159"/>
    <cellStyle name="Comma 3 3 3" xfId="160"/>
    <cellStyle name="Comma 3 3 3 2" xfId="161"/>
    <cellStyle name="Comma 3 3 3 2 2" xfId="162"/>
    <cellStyle name="Comma 3 3 3 2 3" xfId="163"/>
    <cellStyle name="Comma 3 3 3 2 4" xfId="164"/>
    <cellStyle name="Comma 3 3 3 3" xfId="165"/>
    <cellStyle name="Comma 3 3 4" xfId="166"/>
    <cellStyle name="Comma 3 3 5" xfId="167"/>
    <cellStyle name="Comma 3 3 5 2" xfId="168"/>
    <cellStyle name="Comma 3 3 5 3" xfId="169"/>
    <cellStyle name="Comma 3 3 5 4" xfId="170"/>
    <cellStyle name="Comma 3 4" xfId="171"/>
    <cellStyle name="Comma 3 4 2" xfId="172"/>
    <cellStyle name="Comma 3 4 3" xfId="173"/>
    <cellStyle name="Comma 3 4 4" xfId="174"/>
    <cellStyle name="Comma 3 4 4 2" xfId="175"/>
    <cellStyle name="Comma 3 4 4 3" xfId="176"/>
    <cellStyle name="Comma 3 4 4 4" xfId="177"/>
    <cellStyle name="Comma 3 4 5" xfId="178"/>
    <cellStyle name="Comma 3 5" xfId="179"/>
    <cellStyle name="Comma 3 5 2" xfId="180"/>
    <cellStyle name="Comma 3 6" xfId="181"/>
    <cellStyle name="Comma 3 7" xfId="182"/>
    <cellStyle name="Comma 3 8" xfId="183"/>
    <cellStyle name="Comma 30" xfId="184"/>
    <cellStyle name="Comma 31" xfId="185"/>
    <cellStyle name="Comma 32" xfId="186"/>
    <cellStyle name="Comma 33" xfId="187"/>
    <cellStyle name="Comma 34" xfId="188"/>
    <cellStyle name="Comma 35" xfId="189"/>
    <cellStyle name="Comma 36" xfId="190"/>
    <cellStyle name="Comma 37" xfId="191"/>
    <cellStyle name="Comma 38" xfId="192"/>
    <cellStyle name="Comma 39" xfId="193"/>
    <cellStyle name="Comma 4" xfId="194"/>
    <cellStyle name="Comma 4 2" xfId="195"/>
    <cellStyle name="Comma 4 2 2" xfId="196"/>
    <cellStyle name="Comma 4 2 2 2" xfId="197"/>
    <cellStyle name="Comma 4 2 2 3" xfId="198"/>
    <cellStyle name="Comma 4 2 2 4" xfId="199"/>
    <cellStyle name="Comma 4 2 3" xfId="200"/>
    <cellStyle name="Comma 4 2 3 2" xfId="201"/>
    <cellStyle name="Comma 4 2 3 2 2" xfId="202"/>
    <cellStyle name="Comma 4 2 3 3" xfId="203"/>
    <cellStyle name="Comma 4 2 3 3 2" xfId="204"/>
    <cellStyle name="Comma 4 2 3 4" xfId="205"/>
    <cellStyle name="Comma 4 2 4" xfId="206"/>
    <cellStyle name="Comma 4 2 4 2" xfId="207"/>
    <cellStyle name="Comma 4 2 4 3" xfId="208"/>
    <cellStyle name="Comma 4 2 4 4" xfId="209"/>
    <cellStyle name="Comma 4 2 5" xfId="210"/>
    <cellStyle name="Comma 4 3" xfId="211"/>
    <cellStyle name="Comma 4 3 2" xfId="212"/>
    <cellStyle name="Comma 4 3 2 2" xfId="213"/>
    <cellStyle name="Comma 4 3 2 2 2" xfId="214"/>
    <cellStyle name="Comma 4 3 2 3" xfId="215"/>
    <cellStyle name="Comma 4 3 2 3 2" xfId="216"/>
    <cellStyle name="Comma 4 3 2 4" xfId="217"/>
    <cellStyle name="Comma 4 3 3" xfId="218"/>
    <cellStyle name="Comma 4 3 4" xfId="219"/>
    <cellStyle name="Comma 4 3 4 2" xfId="220"/>
    <cellStyle name="Comma 4 3 4 3" xfId="221"/>
    <cellStyle name="Comma 4 3 5" xfId="222"/>
    <cellStyle name="Comma 4 3 5 2" xfId="223"/>
    <cellStyle name="Comma 4 3 6" xfId="224"/>
    <cellStyle name="Comma 4 3 6 2" xfId="225"/>
    <cellStyle name="Comma 4 4" xfId="226"/>
    <cellStyle name="Comma 4 4 2" xfId="227"/>
    <cellStyle name="Comma 4 4 3" xfId="228"/>
    <cellStyle name="Comma 4 4 4" xfId="229"/>
    <cellStyle name="Comma 4 5" xfId="230"/>
    <cellStyle name="Comma 4 5 2" xfId="231"/>
    <cellStyle name="Comma 4 6" xfId="232"/>
    <cellStyle name="Comma 40" xfId="233"/>
    <cellStyle name="Comma 41" xfId="234"/>
    <cellStyle name="Comma 42" xfId="235"/>
    <cellStyle name="Comma 43" xfId="236"/>
    <cellStyle name="Comma 44" xfId="237"/>
    <cellStyle name="Comma 45" xfId="238"/>
    <cellStyle name="Comma 46" xfId="239"/>
    <cellStyle name="Comma 47" xfId="240"/>
    <cellStyle name="Comma 48" xfId="241"/>
    <cellStyle name="Comma 49" xfId="242"/>
    <cellStyle name="Comma 5" xfId="243"/>
    <cellStyle name="Comma 5 2" xfId="244"/>
    <cellStyle name="Comma 5 2 2" xfId="245"/>
    <cellStyle name="Comma 5 2 3" xfId="246"/>
    <cellStyle name="Comma 5 3" xfId="247"/>
    <cellStyle name="Comma 50" xfId="248"/>
    <cellStyle name="Comma 51" xfId="249"/>
    <cellStyle name="Comma 52" xfId="250"/>
    <cellStyle name="Comma 52 2" xfId="251"/>
    <cellStyle name="Comma 53" xfId="252"/>
    <cellStyle name="Comma 54" xfId="253"/>
    <cellStyle name="Comma 55" xfId="254"/>
    <cellStyle name="Comma 56" xfId="255"/>
    <cellStyle name="Comma 57" xfId="256"/>
    <cellStyle name="Comma 57 2" xfId="257"/>
    <cellStyle name="Comma 57 3" xfId="258"/>
    <cellStyle name="Comma 57 4" xfId="259"/>
    <cellStyle name="Comma 58" xfId="260"/>
    <cellStyle name="Comma 58 2" xfId="261"/>
    <cellStyle name="Comma 58 3" xfId="262"/>
    <cellStyle name="Comma 58 4" xfId="263"/>
    <cellStyle name="Comma 59" xfId="264"/>
    <cellStyle name="Comma 59 2" xfId="265"/>
    <cellStyle name="Comma 59 3" xfId="266"/>
    <cellStyle name="Comma 59 4" xfId="267"/>
    <cellStyle name="Comma 6" xfId="268"/>
    <cellStyle name="Comma 6 2" xfId="269"/>
    <cellStyle name="Comma 6 3" xfId="270"/>
    <cellStyle name="Comma 6 4" xfId="271"/>
    <cellStyle name="Comma 6 4 2" xfId="272"/>
    <cellStyle name="Comma 6 4 3" xfId="273"/>
    <cellStyle name="Comma 6 4 4" xfId="274"/>
    <cellStyle name="Comma 6 5" xfId="275"/>
    <cellStyle name="Comma 60" xfId="276"/>
    <cellStyle name="Comma 60 2" xfId="277"/>
    <cellStyle name="Comma 60 3" xfId="278"/>
    <cellStyle name="Comma 60 4" xfId="279"/>
    <cellStyle name="Comma 61" xfId="280"/>
    <cellStyle name="Comma 61 2" xfId="281"/>
    <cellStyle name="Comma 61 3" xfId="282"/>
    <cellStyle name="Comma 61 4" xfId="283"/>
    <cellStyle name="Comma 62" xfId="284"/>
    <cellStyle name="Comma 62 2" xfId="285"/>
    <cellStyle name="Comma 62 3" xfId="286"/>
    <cellStyle name="Comma 63" xfId="287"/>
    <cellStyle name="Comma 63 2" xfId="288"/>
    <cellStyle name="Comma 63 3" xfId="289"/>
    <cellStyle name="Comma 64" xfId="290"/>
    <cellStyle name="Comma 64 2" xfId="291"/>
    <cellStyle name="Comma 64 3" xfId="292"/>
    <cellStyle name="Comma 65" xfId="293"/>
    <cellStyle name="Comma 65 2" xfId="294"/>
    <cellStyle name="Comma 65 3" xfId="295"/>
    <cellStyle name="Comma 66" xfId="296"/>
    <cellStyle name="Comma 66 2" xfId="297"/>
    <cellStyle name="Comma 66 3" xfId="298"/>
    <cellStyle name="Comma 67" xfId="299"/>
    <cellStyle name="Comma 67 2" xfId="300"/>
    <cellStyle name="Comma 67 3" xfId="301"/>
    <cellStyle name="Comma 68" xfId="302"/>
    <cellStyle name="Comma 68 2" xfId="303"/>
    <cellStyle name="Comma 68 3" xfId="304"/>
    <cellStyle name="Comma 69" xfId="305"/>
    <cellStyle name="Comma 69 2" xfId="306"/>
    <cellStyle name="Comma 7" xfId="307"/>
    <cellStyle name="Comma 7 2" xfId="308"/>
    <cellStyle name="Comma 70" xfId="309"/>
    <cellStyle name="Comma 70 2" xfId="310"/>
    <cellStyle name="Comma 71" xfId="311"/>
    <cellStyle name="Comma 71 2" xfId="312"/>
    <cellStyle name="Comma 72" xfId="313"/>
    <cellStyle name="Comma 73" xfId="314"/>
    <cellStyle name="Comma 74" xfId="315"/>
    <cellStyle name="Comma 75" xfId="316"/>
    <cellStyle name="Comma 76" xfId="317"/>
    <cellStyle name="Comma 8" xfId="318"/>
    <cellStyle name="Comma 9" xfId="319"/>
    <cellStyle name="Comma0" xfId="320"/>
    <cellStyle name="Comma0 2" xfId="321"/>
    <cellStyle name="Comma0 2 2" xfId="322"/>
    <cellStyle name="Comma0 2 3" xfId="323"/>
    <cellStyle name="Comma0 2 4" xfId="324"/>
    <cellStyle name="Comma0 2 5" xfId="325"/>
    <cellStyle name="Comma0 3" xfId="326"/>
    <cellStyle name="Currency" xfId="327" builtinId="4"/>
    <cellStyle name="Currency 2" xfId="328"/>
    <cellStyle name="Currency 2 2" xfId="329"/>
    <cellStyle name="Currency 2 2 2" xfId="330"/>
    <cellStyle name="Currency 2 3" xfId="331"/>
    <cellStyle name="Currency 3" xfId="332"/>
    <cellStyle name="Currency 3 2" xfId="333"/>
    <cellStyle name="Currency 3 2 2" xfId="334"/>
    <cellStyle name="Currency 3 3" xfId="335"/>
    <cellStyle name="Currency 3 3 2" xfId="336"/>
    <cellStyle name="Currency 3 3 2 2" xfId="337"/>
    <cellStyle name="Currency 3 3 2 3" xfId="338"/>
    <cellStyle name="Currency 3 3 3" xfId="339"/>
    <cellStyle name="Currency 3 3 3 2" xfId="340"/>
    <cellStyle name="Currency 3 3 3 2 2" xfId="341"/>
    <cellStyle name="Currency 3 3 3 2 3" xfId="342"/>
    <cellStyle name="Currency 3 3 3 2 4" xfId="343"/>
    <cellStyle name="Currency 3 3 3 3" xfId="344"/>
    <cellStyle name="Currency 3 3 4" xfId="345"/>
    <cellStyle name="Currency 3 3 5" xfId="346"/>
    <cellStyle name="Currency 3 3 5 2" xfId="347"/>
    <cellStyle name="Currency 3 3 5 3" xfId="348"/>
    <cellStyle name="Currency 3 3 5 4" xfId="349"/>
    <cellStyle name="Currency 3 4" xfId="350"/>
    <cellStyle name="Currency 3 4 2" xfId="351"/>
    <cellStyle name="Currency 3 4 3" xfId="352"/>
    <cellStyle name="Currency 3 4 4" xfId="353"/>
    <cellStyle name="Currency 3 4 4 2" xfId="354"/>
    <cellStyle name="Currency 3 4 4 3" xfId="355"/>
    <cellStyle name="Currency 3 4 4 4" xfId="356"/>
    <cellStyle name="Currency 3 4 5" xfId="357"/>
    <cellStyle name="Currency 3 5" xfId="358"/>
    <cellStyle name="Currency 3 5 2" xfId="359"/>
    <cellStyle name="Currency 3 6" xfId="360"/>
    <cellStyle name="Currency 3 7" xfId="361"/>
    <cellStyle name="Currency 3 8" xfId="362"/>
    <cellStyle name="Currency 4" xfId="363"/>
    <cellStyle name="Currency 4 10" xfId="364"/>
    <cellStyle name="Currency 4 10 2" xfId="365"/>
    <cellStyle name="Currency 4 10 2 2" xfId="366"/>
    <cellStyle name="Currency 4 10 2 2 2" xfId="367"/>
    <cellStyle name="Currency 4 10 2 3" xfId="368"/>
    <cellStyle name="Currency 4 10 2 3 2" xfId="369"/>
    <cellStyle name="Currency 4 10 2 4" xfId="370"/>
    <cellStyle name="Currency 4 10 3" xfId="371"/>
    <cellStyle name="Currency 4 10 3 2" xfId="372"/>
    <cellStyle name="Currency 4 10 4" xfId="373"/>
    <cellStyle name="Currency 4 10 4 2" xfId="374"/>
    <cellStyle name="Currency 4 10 4 3" xfId="375"/>
    <cellStyle name="Currency 4 10 5" xfId="376"/>
    <cellStyle name="Currency 4 10 5 2" xfId="377"/>
    <cellStyle name="Currency 4 2" xfId="378"/>
    <cellStyle name="Currency 4 2 2" xfId="379"/>
    <cellStyle name="Currency 4 2 3" xfId="380"/>
    <cellStyle name="Currency 4 3" xfId="381"/>
    <cellStyle name="Currency 4 3 2" xfId="382"/>
    <cellStyle name="Currency 4 3 2 2" xfId="383"/>
    <cellStyle name="Currency 4 3 2 3" xfId="384"/>
    <cellStyle name="Currency 4 3 2 4" xfId="385"/>
    <cellStyle name="Currency 4 3 3" xfId="386"/>
    <cellStyle name="Currency 4 4" xfId="387"/>
    <cellStyle name="Currency 4 5" xfId="388"/>
    <cellStyle name="Currency 4 5 2" xfId="389"/>
    <cellStyle name="Currency 4 5 3" xfId="390"/>
    <cellStyle name="Currency 4 5 4" xfId="391"/>
    <cellStyle name="Currency 5" xfId="392"/>
    <cellStyle name="Currency 5 2" xfId="393"/>
    <cellStyle name="Currency 5 3" xfId="394"/>
    <cellStyle name="Currency 5 4" xfId="395"/>
    <cellStyle name="Currency 5 4 2" xfId="396"/>
    <cellStyle name="Currency 5 4 3" xfId="397"/>
    <cellStyle name="Currency 5 4 4" xfId="398"/>
    <cellStyle name="Currency 5 5" xfId="399"/>
    <cellStyle name="Currency 6" xfId="400"/>
    <cellStyle name="Currency 6 2" xfId="401"/>
    <cellStyle name="Currency 6 3" xfId="402"/>
    <cellStyle name="Currency 6 3 2" xfId="403"/>
    <cellStyle name="Currency 6 3 3" xfId="404"/>
    <cellStyle name="Currency 6 3 4" xfId="405"/>
    <cellStyle name="Currency 7" xfId="406"/>
    <cellStyle name="Currency 8" xfId="407"/>
    <cellStyle name="Currency 9" xfId="408"/>
    <cellStyle name="Currency0" xfId="409"/>
    <cellStyle name="Currency0 2" xfId="410"/>
    <cellStyle name="Currency0 2 2" xfId="411"/>
    <cellStyle name="Currency0 2 3" xfId="412"/>
    <cellStyle name="Currency0 2 4" xfId="413"/>
    <cellStyle name="Currency0 2 5" xfId="414"/>
    <cellStyle name="Currency0 3" xfId="415"/>
    <cellStyle name="Date" xfId="416"/>
    <cellStyle name="Date 2" xfId="417"/>
    <cellStyle name="Date 2 2" xfId="418"/>
    <cellStyle name="Date 2 3" xfId="419"/>
    <cellStyle name="Date 2 4" xfId="420"/>
    <cellStyle name="Date 2 5" xfId="421"/>
    <cellStyle name="Date 3" xfId="422"/>
    <cellStyle name="Explanatory Text" xfId="423" builtinId="53" customBuiltin="1"/>
    <cellStyle name="Explanatory Text 2" xfId="424"/>
    <cellStyle name="Explanatory Text 2 2" xfId="425"/>
    <cellStyle name="Fixed" xfId="426"/>
    <cellStyle name="Fixed 2" xfId="427"/>
    <cellStyle name="Fixed 2 2" xfId="428"/>
    <cellStyle name="Fixed 2 3" xfId="429"/>
    <cellStyle name="Fixed 2 4" xfId="430"/>
    <cellStyle name="Fixed 2 5" xfId="431"/>
    <cellStyle name="Fixed 3" xfId="432"/>
    <cellStyle name="Good" xfId="433" builtinId="26" customBuiltin="1"/>
    <cellStyle name="Good 2" xfId="434"/>
    <cellStyle name="Good 2 2" xfId="435"/>
    <cellStyle name="Heading 1" xfId="436" builtinId="16" customBuiltin="1"/>
    <cellStyle name="Heading 1 2" xfId="437"/>
    <cellStyle name="Heading 1 2 2" xfId="438"/>
    <cellStyle name="Heading 1 3" xfId="439"/>
    <cellStyle name="Heading 1 3 2" xfId="440"/>
    <cellStyle name="Heading 2" xfId="441" builtinId="17" customBuiltin="1"/>
    <cellStyle name="Heading 2 2" xfId="442"/>
    <cellStyle name="Heading 2 2 2" xfId="443"/>
    <cellStyle name="Heading 2 3" xfId="444"/>
    <cellStyle name="Heading 2 3 2" xfId="445"/>
    <cellStyle name="Heading 3" xfId="446" builtinId="18" customBuiltin="1"/>
    <cellStyle name="Heading 3 2" xfId="447"/>
    <cellStyle name="Heading 3 2 2" xfId="448"/>
    <cellStyle name="Heading 4" xfId="449" builtinId="19" customBuiltin="1"/>
    <cellStyle name="Heading 4 2" xfId="450"/>
    <cellStyle name="Heading 4 2 2" xfId="451"/>
    <cellStyle name="Heading1" xfId="452"/>
    <cellStyle name="Heading2" xfId="453"/>
    <cellStyle name="Input" xfId="454" builtinId="20" customBuiltin="1"/>
    <cellStyle name="Input 2" xfId="455"/>
    <cellStyle name="Input 2 2" xfId="456"/>
    <cellStyle name="Linked Cell" xfId="457" builtinId="24" customBuiltin="1"/>
    <cellStyle name="Linked Cell 2" xfId="458"/>
    <cellStyle name="Linked Cell 2 2" xfId="459"/>
    <cellStyle name="M" xfId="460"/>
    <cellStyle name="M 2" xfId="461"/>
    <cellStyle name="M 2 2" xfId="462"/>
    <cellStyle name="M 2 2 2" xfId="463"/>
    <cellStyle name="M 3" xfId="464"/>
    <cellStyle name="M 3 2" xfId="465"/>
    <cellStyle name="M 3 2 2" xfId="466"/>
    <cellStyle name="M 4" xfId="467"/>
    <cellStyle name="M 5" xfId="468"/>
    <cellStyle name="M 5 2" xfId="469"/>
    <cellStyle name="M 6" xfId="470"/>
    <cellStyle name="M 6 2" xfId="471"/>
    <cellStyle name="M 7" xfId="472"/>
    <cellStyle name="Neutral" xfId="473" builtinId="28" customBuiltin="1"/>
    <cellStyle name="Neutral 2" xfId="474"/>
    <cellStyle name="Neutral 2 2" xfId="475"/>
    <cellStyle name="Normal" xfId="0" builtinId="0"/>
    <cellStyle name="Normal 10" xfId="476"/>
    <cellStyle name="Normal 10 2" xfId="477"/>
    <cellStyle name="Normal 11" xfId="478"/>
    <cellStyle name="Normal 11 2" xfId="479"/>
    <cellStyle name="Normal 11 3" xfId="480"/>
    <cellStyle name="Normal 12" xfId="481"/>
    <cellStyle name="Normal 12 2" xfId="482"/>
    <cellStyle name="Normal 12 3" xfId="483"/>
    <cellStyle name="Normal 2" xfId="484"/>
    <cellStyle name="Normal 2 2" xfId="485"/>
    <cellStyle name="Normal 2 2 2" xfId="486"/>
    <cellStyle name="Normal 2 2 3" xfId="487"/>
    <cellStyle name="Normal 2 2 4" xfId="488"/>
    <cellStyle name="Normal 3" xfId="489"/>
    <cellStyle name="Normal 3 2" xfId="490"/>
    <cellStyle name="Normal 3 2 2" xfId="491"/>
    <cellStyle name="Normal 3 3" xfId="492"/>
    <cellStyle name="Normal 3 3 2" xfId="493"/>
    <cellStyle name="Normal 3 3 3" xfId="494"/>
    <cellStyle name="Normal 3 3 4" xfId="495"/>
    <cellStyle name="Normal 3_OPCo Period I PJM  Formula Rate" xfId="496"/>
    <cellStyle name="Normal 35" xfId="497"/>
    <cellStyle name="Normal 4" xfId="498"/>
    <cellStyle name="Normal 4 2" xfId="499"/>
    <cellStyle name="Normal 4 2 2" xfId="500"/>
    <cellStyle name="Normal 4 3" xfId="501"/>
    <cellStyle name="Normal 4 3 2" xfId="502"/>
    <cellStyle name="Normal 4 3 2 2" xfId="503"/>
    <cellStyle name="Normal 4 3 2 3" xfId="504"/>
    <cellStyle name="Normal 4 3 3" xfId="505"/>
    <cellStyle name="Normal 4 3 3 2" xfId="506"/>
    <cellStyle name="Normal 4 3 3 2 2" xfId="507"/>
    <cellStyle name="Normal 4 3 3 2 3" xfId="508"/>
    <cellStyle name="Normal 4 3 3 2 4" xfId="509"/>
    <cellStyle name="Normal 4 3 3 3" xfId="510"/>
    <cellStyle name="Normal 4 3 4" xfId="511"/>
    <cellStyle name="Normal 4 3 5" xfId="512"/>
    <cellStyle name="Normal 4 3 5 2" xfId="513"/>
    <cellStyle name="Normal 4 3 5 3" xfId="514"/>
    <cellStyle name="Normal 4 3 5 4" xfId="515"/>
    <cellStyle name="Normal 4 4" xfId="516"/>
    <cellStyle name="Normal 4 4 2" xfId="517"/>
    <cellStyle name="Normal 4 4 3" xfId="518"/>
    <cellStyle name="Normal 4 4 4" xfId="519"/>
    <cellStyle name="Normal 4 4 4 2" xfId="520"/>
    <cellStyle name="Normal 4 4 4 3" xfId="521"/>
    <cellStyle name="Normal 4 4 4 4" xfId="522"/>
    <cellStyle name="Normal 4 4 5" xfId="523"/>
    <cellStyle name="Normal 4 5" xfId="524"/>
    <cellStyle name="Normal 4 5 2" xfId="525"/>
    <cellStyle name="Normal 4 5 2 2" xfId="526"/>
    <cellStyle name="Normal 4 5 2 2 2" xfId="527"/>
    <cellStyle name="Normal 4 5 2 2 3" xfId="528"/>
    <cellStyle name="Normal 4 5 2 2 4" xfId="529"/>
    <cellStyle name="Normal 4 5 3" xfId="530"/>
    <cellStyle name="Normal 4 6" xfId="531"/>
    <cellStyle name="Normal 4 7" xfId="532"/>
    <cellStyle name="Normal 4 8" xfId="533"/>
    <cellStyle name="Normal 4_PBOP Exhibit 1" xfId="534"/>
    <cellStyle name="Normal 5" xfId="535"/>
    <cellStyle name="Normal 5 2" xfId="536"/>
    <cellStyle name="Normal 5 2 2" xfId="537"/>
    <cellStyle name="Normal 5 2 3" xfId="538"/>
    <cellStyle name="Normal 5 2 4" xfId="539"/>
    <cellStyle name="Normal 6" xfId="540"/>
    <cellStyle name="Normal 6 2" xfId="541"/>
    <cellStyle name="Normal 7" xfId="542"/>
    <cellStyle name="Normal 7 2" xfId="543"/>
    <cellStyle name="Normal 7 3" xfId="544"/>
    <cellStyle name="Normal 8" xfId="545"/>
    <cellStyle name="Normal 8 2" xfId="546"/>
    <cellStyle name="Normal 9" xfId="547"/>
    <cellStyle name="Normal 9 2" xfId="548"/>
    <cellStyle name="Normal_FN1 Ratebase Draft SPP template (6-11-04) v2" xfId="549"/>
    <cellStyle name="Note" xfId="550" builtinId="10" customBuiltin="1"/>
    <cellStyle name="Note 2" xfId="551"/>
    <cellStyle name="Note 2 2" xfId="552"/>
    <cellStyle name="Note 2 2 2" xfId="553"/>
    <cellStyle name="Note 2 2 3" xfId="554"/>
    <cellStyle name="Note 2 2 4" xfId="555"/>
    <cellStyle name="Output" xfId="556" builtinId="21" customBuiltin="1"/>
    <cellStyle name="Output 2" xfId="557"/>
    <cellStyle name="Output 2 2" xfId="558"/>
    <cellStyle name="Percent" xfId="559" builtinId="5"/>
    <cellStyle name="Percent 10" xfId="560"/>
    <cellStyle name="Percent 2" xfId="561"/>
    <cellStyle name="Percent 2 2" xfId="562"/>
    <cellStyle name="Percent 2 2 2" xfId="563"/>
    <cellStyle name="Percent 2 3" xfId="564"/>
    <cellStyle name="Percent 3" xfId="565"/>
    <cellStyle name="Percent 3 2" xfId="566"/>
    <cellStyle name="Percent 3 2 2" xfId="567"/>
    <cellStyle name="Percent 3 3" xfId="568"/>
    <cellStyle name="Percent 3 3 2" xfId="569"/>
    <cellStyle name="Percent 3 3 2 2" xfId="570"/>
    <cellStyle name="Percent 3 3 2 3" xfId="571"/>
    <cellStyle name="Percent 3 3 3" xfId="572"/>
    <cellStyle name="Percent 3 3 3 2" xfId="573"/>
    <cellStyle name="Percent 3 3 3 2 2" xfId="574"/>
    <cellStyle name="Percent 3 3 3 2 3" xfId="575"/>
    <cellStyle name="Percent 3 3 3 2 4" xfId="576"/>
    <cellStyle name="Percent 3 3 3 3" xfId="577"/>
    <cellStyle name="Percent 3 3 4" xfId="578"/>
    <cellStyle name="Percent 3 3 5" xfId="579"/>
    <cellStyle name="Percent 3 3 5 2" xfId="580"/>
    <cellStyle name="Percent 3 3 5 3" xfId="581"/>
    <cellStyle name="Percent 3 3 5 4" xfId="582"/>
    <cellStyle name="Percent 3 4" xfId="583"/>
    <cellStyle name="Percent 3 4 2" xfId="584"/>
    <cellStyle name="Percent 3 4 3" xfId="585"/>
    <cellStyle name="Percent 3 4 4" xfId="586"/>
    <cellStyle name="Percent 3 4 4 2" xfId="587"/>
    <cellStyle name="Percent 3 4 4 3" xfId="588"/>
    <cellStyle name="Percent 3 4 4 4" xfId="589"/>
    <cellStyle name="Percent 3 4 5" xfId="590"/>
    <cellStyle name="Percent 3 5" xfId="591"/>
    <cellStyle name="Percent 3 5 2" xfId="592"/>
    <cellStyle name="Percent 3 6" xfId="593"/>
    <cellStyle name="Percent 3 7" xfId="594"/>
    <cellStyle name="Percent 3 8" xfId="595"/>
    <cellStyle name="Percent 4" xfId="596"/>
    <cellStyle name="Percent 4 2" xfId="597"/>
    <cellStyle name="Percent 4 2 2" xfId="598"/>
    <cellStyle name="Percent 4 2 3" xfId="599"/>
    <cellStyle name="Percent 4 3" xfId="600"/>
    <cellStyle name="Percent 4 3 2" xfId="601"/>
    <cellStyle name="Percent 4 3 2 2" xfId="602"/>
    <cellStyle name="Percent 4 3 2 3" xfId="603"/>
    <cellStyle name="Percent 4 3 2 4" xfId="604"/>
    <cellStyle name="Percent 4 3 3" xfId="605"/>
    <cellStyle name="Percent 4 4" xfId="606"/>
    <cellStyle name="Percent 4 5" xfId="607"/>
    <cellStyle name="Percent 4 5 2" xfId="608"/>
    <cellStyle name="Percent 4 5 3" xfId="609"/>
    <cellStyle name="Percent 4 5 4" xfId="610"/>
    <cellStyle name="Percent 5" xfId="611"/>
    <cellStyle name="Percent 5 2" xfId="612"/>
    <cellStyle name="Percent 5 3" xfId="613"/>
    <cellStyle name="Percent 5 4" xfId="614"/>
    <cellStyle name="Percent 5 4 2" xfId="615"/>
    <cellStyle name="Percent 5 4 3" xfId="616"/>
    <cellStyle name="Percent 5 4 4" xfId="617"/>
    <cellStyle name="Percent 5 5" xfId="618"/>
    <cellStyle name="Percent 6" xfId="619"/>
    <cellStyle name="Percent 6 2" xfId="620"/>
    <cellStyle name="Percent 7" xfId="621"/>
    <cellStyle name="Percent 7 2" xfId="622"/>
    <cellStyle name="Percent 7 2 2" xfId="623"/>
    <cellStyle name="Percent 7 2 2 2" xfId="624"/>
    <cellStyle name="Percent 7 2 2 2 2" xfId="625"/>
    <cellStyle name="Percent 7 2 2 3" xfId="626"/>
    <cellStyle name="Percent 7 2 2 3 2" xfId="627"/>
    <cellStyle name="Percent 7 2 2 4" xfId="628"/>
    <cellStyle name="Percent 7 2 3" xfId="629"/>
    <cellStyle name="Percent 7 2 3 2" xfId="630"/>
    <cellStyle name="Percent 7 2 4" xfId="631"/>
    <cellStyle name="Percent 7 2 4 2" xfId="632"/>
    <cellStyle name="Percent 7 2 4 3" xfId="633"/>
    <cellStyle name="Percent 7 2 5" xfId="634"/>
    <cellStyle name="Percent 7 2 5 2" xfId="635"/>
    <cellStyle name="Percent 7 3" xfId="636"/>
    <cellStyle name="Percent 7 4" xfId="637"/>
    <cellStyle name="Percent 7 5" xfId="638"/>
    <cellStyle name="Percent 8" xfId="639"/>
    <cellStyle name="Percent 9" xfId="640"/>
    <cellStyle name="PSChar" xfId="641"/>
    <cellStyle name="PSChar 2" xfId="642"/>
    <cellStyle name="PSChar 2 2" xfId="643"/>
    <cellStyle name="PSChar 3" xfId="644"/>
    <cellStyle name="PSChar 4" xfId="645"/>
    <cellStyle name="PSChar 4 2" xfId="646"/>
    <cellStyle name="PSChar 5" xfId="647"/>
    <cellStyle name="PSChar 5 2" xfId="648"/>
    <cellStyle name="PSDate" xfId="649"/>
    <cellStyle name="PSDate 2" xfId="650"/>
    <cellStyle name="PSDate 3" xfId="651"/>
    <cellStyle name="PSDate 4" xfId="652"/>
    <cellStyle name="PSDate 4 2" xfId="653"/>
    <cellStyle name="PSDate 5" xfId="654"/>
    <cellStyle name="PSDate 5 2" xfId="655"/>
    <cellStyle name="PSDec" xfId="656"/>
    <cellStyle name="PSDec 2" xfId="657"/>
    <cellStyle name="PSDec 3" xfId="658"/>
    <cellStyle name="PSDec 4" xfId="659"/>
    <cellStyle name="PSDec 4 2" xfId="660"/>
    <cellStyle name="PSDec 5" xfId="661"/>
    <cellStyle name="PSDec 5 2" xfId="662"/>
    <cellStyle name="PSdesc" xfId="663"/>
    <cellStyle name="PSdesc 2" xfId="664"/>
    <cellStyle name="PSHeading" xfId="665"/>
    <cellStyle name="PSHeading 2" xfId="666"/>
    <cellStyle name="PSHeading 3" xfId="667"/>
    <cellStyle name="PSHeading 4" xfId="668"/>
    <cellStyle name="PSHeading 5" xfId="669"/>
    <cellStyle name="PSHeading 5 2" xfId="670"/>
    <cellStyle name="PSHeading 6" xfId="671"/>
    <cellStyle name="PSHeading 6 2" xfId="672"/>
    <cellStyle name="PSInt" xfId="673"/>
    <cellStyle name="PSInt 2" xfId="674"/>
    <cellStyle name="PSInt 3" xfId="675"/>
    <cellStyle name="PSInt 4" xfId="676"/>
    <cellStyle name="PSInt 4 2" xfId="677"/>
    <cellStyle name="PSInt 5" xfId="678"/>
    <cellStyle name="PSInt 5 2" xfId="679"/>
    <cellStyle name="PSSpacer" xfId="680"/>
    <cellStyle name="PSSpacer 2" xfId="681"/>
    <cellStyle name="PSSpacer 3" xfId="682"/>
    <cellStyle name="PSSpacer 3 2" xfId="683"/>
    <cellStyle name="PStest" xfId="684"/>
    <cellStyle name="PStest 2" xfId="685"/>
    <cellStyle name="R00A" xfId="686"/>
    <cellStyle name="R00B" xfId="687"/>
    <cellStyle name="R00L" xfId="688"/>
    <cellStyle name="R01A" xfId="689"/>
    <cellStyle name="R01B" xfId="690"/>
    <cellStyle name="R01H" xfId="691"/>
    <cellStyle name="R01L" xfId="692"/>
    <cellStyle name="R02A" xfId="693"/>
    <cellStyle name="R02B" xfId="694"/>
    <cellStyle name="R02B 2" xfId="695"/>
    <cellStyle name="R02H" xfId="696"/>
    <cellStyle name="R02L" xfId="697"/>
    <cellStyle name="R03A" xfId="698"/>
    <cellStyle name="R03B" xfId="699"/>
    <cellStyle name="R03B 2" xfId="700"/>
    <cellStyle name="R03H" xfId="701"/>
    <cellStyle name="R03L" xfId="702"/>
    <cellStyle name="R04A" xfId="703"/>
    <cellStyle name="R04B" xfId="704"/>
    <cellStyle name="R04B 2" xfId="705"/>
    <cellStyle name="R04H" xfId="706"/>
    <cellStyle name="R04L" xfId="707"/>
    <cellStyle name="R05A" xfId="708"/>
    <cellStyle name="R05B" xfId="709"/>
    <cellStyle name="R05B 2" xfId="710"/>
    <cellStyle name="R05H" xfId="711"/>
    <cellStyle name="R05L" xfId="712"/>
    <cellStyle name="R05L 2" xfId="713"/>
    <cellStyle name="R06A" xfId="714"/>
    <cellStyle name="R06B" xfId="715"/>
    <cellStyle name="R06B 2" xfId="716"/>
    <cellStyle name="R06H" xfId="717"/>
    <cellStyle name="R06L" xfId="718"/>
    <cellStyle name="R07A" xfId="719"/>
    <cellStyle name="R07B" xfId="720"/>
    <cellStyle name="R07B 2" xfId="721"/>
    <cellStyle name="R07H" xfId="722"/>
    <cellStyle name="R07L" xfId="723"/>
    <cellStyle name="Title" xfId="724" builtinId="15" customBuiltin="1"/>
    <cellStyle name="Title 2" xfId="725"/>
    <cellStyle name="Title 2 2" xfId="726"/>
    <cellStyle name="Total" xfId="727" builtinId="25" customBuiltin="1"/>
    <cellStyle name="Total 2" xfId="728"/>
    <cellStyle name="Total 2 2" xfId="729"/>
    <cellStyle name="Total 3" xfId="730"/>
    <cellStyle name="Total 3 2" xfId="731"/>
    <cellStyle name="Warning Text" xfId="732" builtinId="11" customBuiltin="1"/>
    <cellStyle name="Warning Text 2" xfId="733"/>
    <cellStyle name="Warning Text 2 2" xfId="734"/>
  </cellStyles>
  <dxfs count="61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71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8088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910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0080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1104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814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9171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0195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12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3102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4126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8143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9167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0191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1215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dbw/SWPP%20Form%20Rate/Lila%20added/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93"/>
  <sheetViews>
    <sheetView tabSelected="1" zoomScale="70" zoomScaleNormal="70" zoomScaleSheetLayoutView="75" workbookViewId="0"/>
  </sheetViews>
  <sheetFormatPr defaultColWidth="8.7265625" defaultRowHeight="12.75" customHeight="1"/>
  <cols>
    <col min="1" max="1" width="7.453125" style="148" customWidth="1"/>
    <col min="2" max="2" width="7" style="148" bestFit="1" customWidth="1"/>
    <col min="3" max="3" width="43.1796875" style="148" customWidth="1"/>
    <col min="4" max="4" width="9.54296875" style="148" customWidth="1"/>
    <col min="5" max="7" width="15.453125" style="148" bestFit="1" customWidth="1"/>
    <col min="8" max="8" width="2.81640625" style="148" customWidth="1"/>
    <col min="9" max="9" width="13.54296875" style="148" bestFit="1" customWidth="1"/>
    <col min="10" max="10" width="13.26953125" style="148" customWidth="1"/>
    <col min="11" max="11" width="12.81640625" style="148" bestFit="1" customWidth="1"/>
    <col min="12" max="12" width="15.26953125" style="148" customWidth="1"/>
    <col min="13" max="13" width="2.453125" style="148" customWidth="1"/>
    <col min="14" max="14" width="6.1796875" style="148" customWidth="1"/>
    <col min="15" max="15" width="8.7265625" style="148" customWidth="1"/>
    <col min="16" max="16" width="10.7265625" style="148" customWidth="1"/>
    <col min="17" max="17" width="14.36328125" style="148" customWidth="1"/>
    <col min="18" max="18" width="18.7265625" style="148" customWidth="1"/>
    <col min="19" max="19" width="2.453125" style="148" customWidth="1"/>
    <col min="20" max="20" width="19.1796875" style="148" bestFit="1" customWidth="1"/>
    <col min="21" max="21" width="8.7265625" style="148"/>
    <col min="22" max="22" width="13.81640625" style="148" customWidth="1"/>
    <col min="23" max="28" width="8.7265625" style="148"/>
    <col min="29" max="29" width="9.1796875" style="148" customWidth="1"/>
    <col min="30" max="16384" width="8.7265625" style="148"/>
  </cols>
  <sheetData>
    <row r="1" spans="1:23" ht="15.5">
      <c r="H1" s="149" t="s">
        <v>157</v>
      </c>
      <c r="U1" s="148">
        <v>2020</v>
      </c>
    </row>
    <row r="2" spans="1:23" ht="15.5">
      <c r="H2" s="150" t="s">
        <v>189</v>
      </c>
      <c r="U2" s="148">
        <f>+U1+1</f>
        <v>2021</v>
      </c>
    </row>
    <row r="3" spans="1:23" ht="15.5">
      <c r="H3" s="151" t="str">
        <f>"For Calendar Year "&amp;U1&amp;" and Projected Year "&amp;U1+1</f>
        <v>For Calendar Year 2020 and Projected Year 2021</v>
      </c>
    </row>
    <row r="4" spans="1:23" ht="15.5">
      <c r="H4" s="152"/>
    </row>
    <row r="5" spans="1:23" ht="15.5">
      <c r="H5" s="153" t="s">
        <v>158</v>
      </c>
    </row>
    <row r="7" spans="1:23" ht="18">
      <c r="C7" s="154"/>
      <c r="E7" s="154"/>
      <c r="F7" s="154"/>
      <c r="G7" s="154"/>
      <c r="H7" s="154" t="s">
        <v>124</v>
      </c>
      <c r="I7" s="154"/>
      <c r="J7" s="154"/>
      <c r="K7" s="154"/>
      <c r="L7" s="154"/>
    </row>
    <row r="8" spans="1:23" ht="12.5">
      <c r="D8" s="155"/>
    </row>
    <row r="9" spans="1:23" ht="12.5">
      <c r="A9" s="148" t="s">
        <v>260</v>
      </c>
    </row>
    <row r="12" spans="1:23" ht="22.5" customHeight="1">
      <c r="A12" s="156" t="s">
        <v>159</v>
      </c>
      <c r="B12" s="156" t="s">
        <v>160</v>
      </c>
      <c r="C12" s="157" t="s">
        <v>161</v>
      </c>
      <c r="D12" s="156" t="s">
        <v>162</v>
      </c>
      <c r="E12" s="156" t="s">
        <v>163</v>
      </c>
      <c r="F12" s="156" t="s">
        <v>164</v>
      </c>
      <c r="G12" s="156" t="str">
        <f>"(G) = "&amp;E12&amp;" + "&amp;F12</f>
        <v>(G) = (E) + (F)</v>
      </c>
      <c r="H12" s="156"/>
      <c r="I12" s="156" t="s">
        <v>165</v>
      </c>
      <c r="J12" s="156" t="s">
        <v>166</v>
      </c>
      <c r="K12" s="158" t="s">
        <v>197</v>
      </c>
      <c r="L12" s="156" t="str">
        <f>"(K) = "&amp;J12&amp;" - "&amp;K12</f>
        <v>(K) = (I) - (J)</v>
      </c>
      <c r="M12" s="156"/>
      <c r="N12" s="156" t="s">
        <v>198</v>
      </c>
      <c r="O12" s="156" t="s">
        <v>167</v>
      </c>
      <c r="P12" s="156" t="str">
        <f>"(N) = "&amp;N12&amp;"-"&amp;O12</f>
        <v>(N) = (L)-(M)</v>
      </c>
      <c r="Q12" s="156" t="s">
        <v>199</v>
      </c>
      <c r="R12" s="156" t="str">
        <f>"(P) = "&amp;I12&amp;"+"&amp;LEFT(L12,3)&amp;"+"&amp;LEFT(P12,3)&amp;"+"&amp;Q12</f>
        <v>(P) = (H)+(K)+(N)+(O)</v>
      </c>
      <c r="S12" s="156"/>
      <c r="T12" s="156" t="str">
        <f>"(Q) = "&amp;LEFT(G12,3)&amp;" + "&amp;LEFT(R12,3)</f>
        <v>(Q) = (G) + (P)</v>
      </c>
      <c r="U12" s="156"/>
      <c r="V12" s="159"/>
      <c r="W12" s="159"/>
    </row>
    <row r="13" spans="1:23" ht="16.5" customHeight="1">
      <c r="A13" s="160"/>
      <c r="B13" s="160"/>
      <c r="C13" s="160"/>
      <c r="D13" s="160"/>
      <c r="E13" s="631" t="str">
        <f>"Projected ARR For "&amp;U2&amp;" From WS-F"</f>
        <v>Projected ARR For 2021 From WS-F</v>
      </c>
      <c r="F13" s="631"/>
      <c r="G13" s="631"/>
      <c r="H13" s="160"/>
      <c r="I13" s="161" t="s">
        <v>350</v>
      </c>
      <c r="J13" s="161"/>
      <c r="K13" s="161"/>
      <c r="L13" s="161"/>
      <c r="M13" s="161"/>
      <c r="N13" s="161"/>
      <c r="O13" s="161"/>
      <c r="P13" s="161"/>
      <c r="Q13" s="161"/>
      <c r="R13" s="162"/>
      <c r="S13" s="160"/>
      <c r="T13" s="160"/>
      <c r="U13" s="160"/>
    </row>
    <row r="14" spans="1:23" ht="18" customHeight="1">
      <c r="I14" s="163"/>
      <c r="T14" s="632" t="str">
        <f>"Total ADJUSTED Revenue Requirement Effective
1/1/"&amp;U2&amp;""</f>
        <v>Total ADJUSTED Revenue Requirement Effective
1/1/2021</v>
      </c>
    </row>
    <row r="15" spans="1:23" ht="18" customHeight="1" thickBot="1">
      <c r="D15" s="160"/>
      <c r="E15" s="164"/>
      <c r="F15" s="164"/>
      <c r="G15" s="164"/>
      <c r="I15" s="161" t="s">
        <v>168</v>
      </c>
      <c r="J15" s="165"/>
      <c r="K15" s="165"/>
      <c r="L15" s="165"/>
      <c r="M15" s="166"/>
      <c r="N15" s="161" t="s">
        <v>196</v>
      </c>
      <c r="O15" s="167"/>
      <c r="P15" s="167"/>
      <c r="Q15" s="168"/>
      <c r="T15" s="632"/>
    </row>
    <row r="16" spans="1:23" ht="69" customHeight="1">
      <c r="A16" s="169" t="s">
        <v>179</v>
      </c>
      <c r="B16" s="170" t="s">
        <v>169</v>
      </c>
      <c r="C16" s="170" t="s">
        <v>131</v>
      </c>
      <c r="D16" s="171" t="s">
        <v>170</v>
      </c>
      <c r="E16" s="172" t="s">
        <v>194</v>
      </c>
      <c r="F16" s="173" t="s">
        <v>171</v>
      </c>
      <c r="G16" s="173" t="s">
        <v>172</v>
      </c>
      <c r="I16" s="174" t="s">
        <v>193</v>
      </c>
      <c r="J16" s="174" t="s">
        <v>223</v>
      </c>
      <c r="K16" s="174" t="s">
        <v>213</v>
      </c>
      <c r="L16" s="174" t="s">
        <v>195</v>
      </c>
      <c r="M16" s="174"/>
      <c r="N16" s="175" t="s">
        <v>173</v>
      </c>
      <c r="O16" s="175" t="s">
        <v>174</v>
      </c>
      <c r="P16" s="176" t="s">
        <v>175</v>
      </c>
      <c r="Q16" s="176" t="s">
        <v>176</v>
      </c>
      <c r="R16" s="172" t="s">
        <v>220</v>
      </c>
      <c r="T16" s="632"/>
      <c r="V16" s="177" t="s">
        <v>200</v>
      </c>
    </row>
    <row r="17" spans="1:23" ht="13">
      <c r="B17" s="160"/>
      <c r="C17" s="160"/>
      <c r="E17" s="178"/>
      <c r="F17" s="178"/>
      <c r="G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T17" s="178"/>
      <c r="V17" s="179"/>
    </row>
    <row r="18" spans="1:23" ht="13">
      <c r="A18" s="156" t="s">
        <v>178</v>
      </c>
      <c r="B18" s="156" t="s">
        <v>117</v>
      </c>
      <c r="C18" s="180" t="str">
        <f t="shared" ref="C18:D45" ca="1" si="0">INDIRECT("'"&amp; $A18 &amp; "'!" &amp;C$54)</f>
        <v>Riverside-Glenpool (81-523) Reconductor</v>
      </c>
      <c r="D18" s="181">
        <f t="shared" ca="1" si="0"/>
        <v>2009</v>
      </c>
      <c r="E18" s="182">
        <v>0</v>
      </c>
      <c r="F18" s="183">
        <f t="shared" ref="F18:F45" ca="1" si="1">INDIRECT("'"&amp; $A18 &amp; "'!" &amp;F$54)</f>
        <v>0</v>
      </c>
      <c r="G18" s="183">
        <f t="shared" ref="G18:G27" ca="1" si="2">+E18+F18</f>
        <v>0</v>
      </c>
      <c r="H18" s="184"/>
      <c r="I18" s="185">
        <f t="shared" ref="I18:I45" ca="1" si="3">INDIRECT("'"&amp; $A18 &amp; "'!" &amp;I$54)</f>
        <v>3611.9555264666706</v>
      </c>
      <c r="J18" s="186">
        <v>67660.298193969837</v>
      </c>
      <c r="K18" s="186">
        <f t="shared" ref="K18:K45" si="4">J18/J$47*K$47</f>
        <v>75685.510492854082</v>
      </c>
      <c r="L18" s="182">
        <f t="shared" ref="L18:L27" si="5">+J18-K18</f>
        <v>-8025.2122988842457</v>
      </c>
      <c r="M18" s="182"/>
      <c r="N18" s="183">
        <v>0</v>
      </c>
      <c r="O18" s="183">
        <v>0</v>
      </c>
      <c r="P18" s="183">
        <f t="shared" ref="P18:P26" si="6">+N18-O18</f>
        <v>0</v>
      </c>
      <c r="Q18" s="182">
        <f t="shared" ref="Q18:Q43" ca="1" si="7">+V18/$V$47 * $Q$47</f>
        <v>-304.79751193139634</v>
      </c>
      <c r="R18" s="187">
        <f t="shared" ref="R18:R27" ca="1" si="8">I18+L18+P18+Q18</f>
        <v>-4718.0542843489711</v>
      </c>
      <c r="S18" s="187"/>
      <c r="T18" s="188">
        <f t="shared" ref="T18:T27" ca="1" si="9">+G18+R18</f>
        <v>-4718.0542843489711</v>
      </c>
      <c r="V18" s="189">
        <f t="shared" ref="V18:V27" ca="1" si="10">+I18+L18+P18</f>
        <v>-4413.2567724175751</v>
      </c>
      <c r="W18" s="159" t="str">
        <f>A18</f>
        <v>P.001</v>
      </c>
    </row>
    <row r="19" spans="1:23" ht="13">
      <c r="A19" s="156" t="s">
        <v>180</v>
      </c>
      <c r="B19" s="156" t="s">
        <v>117</v>
      </c>
      <c r="C19" s="180" t="str">
        <f t="shared" ca="1" si="0"/>
        <v>Craig Jct. to Broken Bow Dam 138 Rebuild (7.7mi)</v>
      </c>
      <c r="D19" s="181">
        <f t="shared" ca="1" si="0"/>
        <v>2009</v>
      </c>
      <c r="E19" s="182">
        <v>0</v>
      </c>
      <c r="F19" s="183">
        <f t="shared" ca="1" si="1"/>
        <v>0</v>
      </c>
      <c r="G19" s="183">
        <f t="shared" ca="1" si="2"/>
        <v>0</v>
      </c>
      <c r="H19" s="184"/>
      <c r="I19" s="185">
        <f t="shared" ca="1" si="3"/>
        <v>23042.974683415086</v>
      </c>
      <c r="J19" s="186">
        <v>356132.95995641302</v>
      </c>
      <c r="K19" s="186">
        <f t="shared" si="4"/>
        <v>398374.01839938294</v>
      </c>
      <c r="L19" s="182">
        <f t="shared" si="5"/>
        <v>-42241.058442969923</v>
      </c>
      <c r="M19" s="182"/>
      <c r="N19" s="183">
        <v>0</v>
      </c>
      <c r="O19" s="183">
        <v>0</v>
      </c>
      <c r="P19" s="183">
        <f t="shared" si="6"/>
        <v>0</v>
      </c>
      <c r="Q19" s="182">
        <f t="shared" ca="1" si="7"/>
        <v>-1325.8979627775893</v>
      </c>
      <c r="R19" s="187">
        <f t="shared" ca="1" si="8"/>
        <v>-20523.981722332424</v>
      </c>
      <c r="S19" s="187"/>
      <c r="T19" s="190">
        <f t="shared" ca="1" si="9"/>
        <v>-20523.981722332424</v>
      </c>
      <c r="V19" s="189">
        <f t="shared" ca="1" si="10"/>
        <v>-19198.083759554836</v>
      </c>
      <c r="W19" s="159" t="str">
        <f t="shared" ref="W19:W25" si="11">A19</f>
        <v>P.002</v>
      </c>
    </row>
    <row r="20" spans="1:23" ht="25">
      <c r="A20" s="156" t="s">
        <v>181</v>
      </c>
      <c r="B20" s="156" t="s">
        <v>117</v>
      </c>
      <c r="C20" s="191" t="str">
        <f t="shared" ca="1" si="0"/>
        <v>WFEC New 138 kV Ties: Sayre to Erick (WFEC) Line &amp; Atoka and Tupelo station work</v>
      </c>
      <c r="D20" s="181">
        <f t="shared" ca="1" si="0"/>
        <v>2009</v>
      </c>
      <c r="E20" s="182">
        <v>0</v>
      </c>
      <c r="F20" s="183">
        <f t="shared" ca="1" si="1"/>
        <v>0</v>
      </c>
      <c r="G20" s="183">
        <f t="shared" ca="1" si="2"/>
        <v>0</v>
      </c>
      <c r="H20" s="184"/>
      <c r="I20" s="185">
        <f t="shared" ca="1" si="3"/>
        <v>57254.066949527944</v>
      </c>
      <c r="J20" s="186">
        <v>865094.88153277</v>
      </c>
      <c r="K20" s="186">
        <f t="shared" si="4"/>
        <v>967704.09651251335</v>
      </c>
      <c r="L20" s="182">
        <f t="shared" si="5"/>
        <v>-102609.21497974335</v>
      </c>
      <c r="M20" s="182"/>
      <c r="N20" s="183">
        <v>0</v>
      </c>
      <c r="O20" s="183">
        <v>0</v>
      </c>
      <c r="P20" s="183">
        <f t="shared" si="6"/>
        <v>0</v>
      </c>
      <c r="Q20" s="182">
        <f t="shared" ca="1" si="7"/>
        <v>-3132.4115014764911</v>
      </c>
      <c r="R20" s="187">
        <f t="shared" ca="1" si="8"/>
        <v>-48487.559531691899</v>
      </c>
      <c r="S20" s="187"/>
      <c r="T20" s="190">
        <f t="shared" ca="1" si="9"/>
        <v>-48487.559531691899</v>
      </c>
      <c r="V20" s="189">
        <f t="shared" ca="1" si="10"/>
        <v>-45355.148030215409</v>
      </c>
      <c r="W20" s="159" t="str">
        <f t="shared" si="11"/>
        <v>P.003</v>
      </c>
    </row>
    <row r="21" spans="1:23" ht="25">
      <c r="A21" s="156" t="s">
        <v>182</v>
      </c>
      <c r="B21" s="156" t="s">
        <v>117</v>
      </c>
      <c r="C21" s="191" t="str">
        <f t="shared" ca="1" si="0"/>
        <v>Cache-Snyder to Altus Jct. 138 kV line (w/2 ring bus stations)</v>
      </c>
      <c r="D21" s="181">
        <f t="shared" ca="1" si="0"/>
        <v>2008</v>
      </c>
      <c r="E21" s="182">
        <v>0</v>
      </c>
      <c r="F21" s="183">
        <f t="shared" ca="1" si="1"/>
        <v>0</v>
      </c>
      <c r="G21" s="183">
        <f t="shared" ca="1" si="2"/>
        <v>0</v>
      </c>
      <c r="H21" s="184"/>
      <c r="I21" s="185">
        <f t="shared" ca="1" si="3"/>
        <v>53169.550503387582</v>
      </c>
      <c r="J21" s="186">
        <v>1041036.5663488451</v>
      </c>
      <c r="K21" s="186">
        <f t="shared" si="4"/>
        <v>1164514.2878318338</v>
      </c>
      <c r="L21" s="182">
        <f t="shared" si="5"/>
        <v>-123477.72148298868</v>
      </c>
      <c r="M21" s="182"/>
      <c r="N21" s="183">
        <v>0</v>
      </c>
      <c r="O21" s="183">
        <v>0</v>
      </c>
      <c r="P21" s="183">
        <f t="shared" si="6"/>
        <v>0</v>
      </c>
      <c r="Q21" s="182">
        <f t="shared" ca="1" si="7"/>
        <v>-4855.7690359109638</v>
      </c>
      <c r="R21" s="187">
        <f t="shared" ca="1" si="8"/>
        <v>-75163.940015512067</v>
      </c>
      <c r="S21" s="187"/>
      <c r="T21" s="190">
        <f t="shared" ca="1" si="9"/>
        <v>-75163.940015512067</v>
      </c>
      <c r="V21" s="189">
        <f t="shared" ca="1" si="10"/>
        <v>-70308.170979601098</v>
      </c>
      <c r="W21" s="159" t="str">
        <f t="shared" si="11"/>
        <v>P.004</v>
      </c>
    </row>
    <row r="22" spans="1:23" ht="13">
      <c r="A22" s="158" t="s">
        <v>183</v>
      </c>
      <c r="B22" s="156" t="s">
        <v>117</v>
      </c>
      <c r="C22" s="191" t="str">
        <f t="shared" ca="1" si="0"/>
        <v>Catoosa 138 kV Device (Cap. Bank)</v>
      </c>
      <c r="D22" s="181">
        <f t="shared" ca="1" si="0"/>
        <v>2006</v>
      </c>
      <c r="E22" s="182">
        <v>0</v>
      </c>
      <c r="F22" s="183">
        <f t="shared" ca="1" si="1"/>
        <v>0</v>
      </c>
      <c r="G22" s="183">
        <f t="shared" ca="1" si="2"/>
        <v>0</v>
      </c>
      <c r="H22" s="184"/>
      <c r="I22" s="185">
        <f t="shared" ca="1" si="3"/>
        <v>1604.7366543970638</v>
      </c>
      <c r="J22" s="186">
        <v>27861.989696789402</v>
      </c>
      <c r="K22" s="186">
        <f t="shared" si="4"/>
        <v>31166.710313672353</v>
      </c>
      <c r="L22" s="182">
        <f t="shared" si="5"/>
        <v>-3304.7206168829507</v>
      </c>
      <c r="M22" s="182"/>
      <c r="N22" s="183">
        <v>0</v>
      </c>
      <c r="O22" s="183">
        <v>0</v>
      </c>
      <c r="P22" s="183">
        <f t="shared" si="6"/>
        <v>0</v>
      </c>
      <c r="Q22" s="182">
        <f t="shared" ca="1" si="7"/>
        <v>-117.40782574160811</v>
      </c>
      <c r="R22" s="187">
        <f t="shared" ca="1" si="8"/>
        <v>-1817.391788227495</v>
      </c>
      <c r="S22" s="187"/>
      <c r="T22" s="190">
        <f t="shared" ca="1" si="9"/>
        <v>-1817.391788227495</v>
      </c>
      <c r="V22" s="189">
        <f t="shared" ca="1" si="10"/>
        <v>-1699.9839624858869</v>
      </c>
      <c r="W22" s="159" t="str">
        <f t="shared" si="11"/>
        <v>P.005</v>
      </c>
    </row>
    <row r="23" spans="1:23" ht="13">
      <c r="A23" s="156" t="s">
        <v>184</v>
      </c>
      <c r="B23" s="156" t="s">
        <v>117</v>
      </c>
      <c r="C23" s="191" t="str">
        <f t="shared" ca="1" si="0"/>
        <v>Pryor Junction 138/69 Upgrade Transf</v>
      </c>
      <c r="D23" s="181">
        <f t="shared" ca="1" si="0"/>
        <v>2008</v>
      </c>
      <c r="E23" s="182">
        <v>0</v>
      </c>
      <c r="F23" s="183">
        <f t="shared" ca="1" si="1"/>
        <v>0</v>
      </c>
      <c r="G23" s="183">
        <f t="shared" ca="1" si="2"/>
        <v>0</v>
      </c>
      <c r="H23" s="184"/>
      <c r="I23" s="185">
        <f t="shared" ca="1" si="3"/>
        <v>6534.739831025945</v>
      </c>
      <c r="J23" s="186">
        <v>113041.81021690844</v>
      </c>
      <c r="K23" s="186">
        <f t="shared" si="4"/>
        <v>126449.7399756591</v>
      </c>
      <c r="L23" s="182">
        <f t="shared" si="5"/>
        <v>-13407.929758750659</v>
      </c>
      <c r="M23" s="182"/>
      <c r="N23" s="183">
        <v>0</v>
      </c>
      <c r="O23" s="183">
        <v>0</v>
      </c>
      <c r="P23" s="183">
        <f t="shared" si="6"/>
        <v>0</v>
      </c>
      <c r="Q23" s="182">
        <f t="shared" ca="1" si="7"/>
        <v>-474.69052834078059</v>
      </c>
      <c r="R23" s="187">
        <f t="shared" ca="1" si="8"/>
        <v>-7347.8804560654944</v>
      </c>
      <c r="S23" s="187"/>
      <c r="T23" s="190">
        <f t="shared" ca="1" si="9"/>
        <v>-7347.8804560654944</v>
      </c>
      <c r="V23" s="189">
        <f t="shared" ca="1" si="10"/>
        <v>-6873.1899277247139</v>
      </c>
      <c r="W23" s="159" t="str">
        <f t="shared" si="11"/>
        <v>P.006</v>
      </c>
    </row>
    <row r="24" spans="1:23" ht="13">
      <c r="A24" s="156" t="s">
        <v>185</v>
      </c>
      <c r="B24" s="156" t="s">
        <v>117</v>
      </c>
      <c r="C24" s="191" t="str">
        <f t="shared" ca="1" si="0"/>
        <v>Elk City - Elk City 69 kV line (CT Upgrades)*</v>
      </c>
      <c r="D24" s="181">
        <f t="shared" ca="1" si="0"/>
        <v>2007</v>
      </c>
      <c r="E24" s="182">
        <v>0</v>
      </c>
      <c r="F24" s="183">
        <f t="shared" ca="1" si="1"/>
        <v>0</v>
      </c>
      <c r="G24" s="183">
        <f t="shared" ca="1" si="2"/>
        <v>0</v>
      </c>
      <c r="H24" s="184"/>
      <c r="I24" s="185">
        <f t="shared" ca="1" si="3"/>
        <v>340.38949939529994</v>
      </c>
      <c r="J24" s="186">
        <v>6230.8279532834695</v>
      </c>
      <c r="K24" s="186">
        <f t="shared" si="4"/>
        <v>6969.8686973778949</v>
      </c>
      <c r="L24" s="182">
        <f t="shared" si="5"/>
        <v>-739.04074409442546</v>
      </c>
      <c r="M24" s="182"/>
      <c r="N24" s="183">
        <v>0</v>
      </c>
      <c r="O24" s="183">
        <v>0</v>
      </c>
      <c r="P24" s="183">
        <f t="shared" si="6"/>
        <v>0</v>
      </c>
      <c r="Q24" s="182">
        <f t="shared" ca="1" si="7"/>
        <v>-27.532480836388292</v>
      </c>
      <c r="R24" s="187">
        <f t="shared" ca="1" si="8"/>
        <v>-426.18372553551382</v>
      </c>
      <c r="S24" s="192" t="s">
        <v>224</v>
      </c>
      <c r="T24" s="190">
        <f t="shared" ca="1" si="9"/>
        <v>-426.18372553551382</v>
      </c>
      <c r="V24" s="189">
        <f t="shared" ca="1" si="10"/>
        <v>-398.65124469912553</v>
      </c>
      <c r="W24" s="159" t="str">
        <f t="shared" si="11"/>
        <v>P.007</v>
      </c>
    </row>
    <row r="25" spans="1:23" ht="25">
      <c r="A25" s="156" t="s">
        <v>186</v>
      </c>
      <c r="B25" s="156" t="s">
        <v>117</v>
      </c>
      <c r="C25" s="191" t="str">
        <f t="shared" ca="1" si="0"/>
        <v>Weleetka &amp; Okmulgee Wavetrap replacement 81-805*</v>
      </c>
      <c r="D25" s="181">
        <f t="shared" ca="1" si="0"/>
        <v>2006</v>
      </c>
      <c r="E25" s="182">
        <v>0</v>
      </c>
      <c r="F25" s="183">
        <f t="shared" ca="1" si="1"/>
        <v>0</v>
      </c>
      <c r="G25" s="183">
        <f t="shared" ca="1" si="2"/>
        <v>0</v>
      </c>
      <c r="H25" s="184"/>
      <c r="I25" s="185">
        <f t="shared" ca="1" si="3"/>
        <v>293.67311220025022</v>
      </c>
      <c r="J25" s="186">
        <v>4099.0879678357605</v>
      </c>
      <c r="K25" s="186">
        <f t="shared" si="4"/>
        <v>4585.2822656997296</v>
      </c>
      <c r="L25" s="182">
        <f t="shared" si="5"/>
        <v>-486.19429786396904</v>
      </c>
      <c r="M25" s="182"/>
      <c r="N25" s="183">
        <v>0</v>
      </c>
      <c r="O25" s="183">
        <v>0</v>
      </c>
      <c r="P25" s="183">
        <f t="shared" si="6"/>
        <v>0</v>
      </c>
      <c r="Q25" s="182">
        <f t="shared" ca="1" si="7"/>
        <v>-13.296298269144014</v>
      </c>
      <c r="R25" s="187">
        <f t="shared" ca="1" si="8"/>
        <v>-205.81748393286284</v>
      </c>
      <c r="S25" s="192" t="s">
        <v>224</v>
      </c>
      <c r="T25" s="190">
        <f t="shared" ca="1" si="9"/>
        <v>-205.81748393286284</v>
      </c>
      <c r="V25" s="189">
        <f ca="1">+I25+L25+P25</f>
        <v>-192.52118566371882</v>
      </c>
      <c r="W25" s="159" t="str">
        <f t="shared" si="11"/>
        <v>P.008</v>
      </c>
    </row>
    <row r="26" spans="1:23" ht="13">
      <c r="A26" s="156" t="s">
        <v>187</v>
      </c>
      <c r="B26" s="156" t="s">
        <v>117</v>
      </c>
      <c r="C26" s="191" t="str">
        <f t="shared" ca="1" si="0"/>
        <v>Tulsa Southeast Upgrade (repl switches)*</v>
      </c>
      <c r="D26" s="181">
        <f t="shared" ca="1" si="0"/>
        <v>2007</v>
      </c>
      <c r="E26" s="182">
        <v>0</v>
      </c>
      <c r="F26" s="183">
        <f t="shared" ca="1" si="1"/>
        <v>0</v>
      </c>
      <c r="G26" s="183">
        <f t="shared" ca="1" si="2"/>
        <v>0</v>
      </c>
      <c r="H26" s="184"/>
      <c r="I26" s="185">
        <f t="shared" ca="1" si="3"/>
        <v>385.69718462077708</v>
      </c>
      <c r="J26" s="186">
        <v>5393.371852303977</v>
      </c>
      <c r="K26" s="186">
        <f t="shared" si="4"/>
        <v>6033.0816271187659</v>
      </c>
      <c r="L26" s="182">
        <f t="shared" si="5"/>
        <v>-639.70977481478894</v>
      </c>
      <c r="M26" s="182"/>
      <c r="N26" s="183">
        <v>0</v>
      </c>
      <c r="O26" s="183">
        <v>0</v>
      </c>
      <c r="P26" s="183">
        <f t="shared" si="6"/>
        <v>0</v>
      </c>
      <c r="Q26" s="182">
        <f t="shared" ca="1" si="7"/>
        <v>-17.543145455362289</v>
      </c>
      <c r="R26" s="187">
        <f t="shared" ca="1" si="8"/>
        <v>-271.55573564937413</v>
      </c>
      <c r="S26" s="192" t="s">
        <v>224</v>
      </c>
      <c r="T26" s="190">
        <f t="shared" ca="1" si="9"/>
        <v>-271.55573564937413</v>
      </c>
      <c r="V26" s="189">
        <f t="shared" ca="1" si="10"/>
        <v>-254.01259019401186</v>
      </c>
      <c r="W26" s="159" t="str">
        <f t="shared" ref="W26:W31" si="12">A26</f>
        <v>P.009</v>
      </c>
    </row>
    <row r="27" spans="1:23" ht="13">
      <c r="A27" s="156" t="s">
        <v>222</v>
      </c>
      <c r="B27" s="156" t="s">
        <v>117</v>
      </c>
      <c r="C27" s="193" t="str">
        <f t="shared" ca="1" si="0"/>
        <v>Wavetrap Clinton City-Foss Tap 69kV Ckt 1*</v>
      </c>
      <c r="D27" s="181">
        <f t="shared" ca="1" si="0"/>
        <v>2010</v>
      </c>
      <c r="E27" s="182">
        <v>0</v>
      </c>
      <c r="F27" s="183">
        <f t="shared" ca="1" si="1"/>
        <v>0</v>
      </c>
      <c r="G27" s="183">
        <f t="shared" ca="1" si="2"/>
        <v>0</v>
      </c>
      <c r="H27" s="184"/>
      <c r="I27" s="185">
        <f t="shared" ca="1" si="3"/>
        <v>479.72533841462973</v>
      </c>
      <c r="J27" s="186">
        <v>7469.744084746786</v>
      </c>
      <c r="K27" s="186">
        <f t="shared" si="4"/>
        <v>8355.7331166983222</v>
      </c>
      <c r="L27" s="182">
        <f t="shared" si="5"/>
        <v>-885.98903195153616</v>
      </c>
      <c r="M27" s="182"/>
      <c r="N27" s="183">
        <v>0</v>
      </c>
      <c r="O27" s="183">
        <v>0</v>
      </c>
      <c r="P27" s="183">
        <f t="shared" ref="P27:P33" si="13">+N27-O27</f>
        <v>0</v>
      </c>
      <c r="Q27" s="182">
        <f t="shared" ca="1" si="7"/>
        <v>-28.058227600084894</v>
      </c>
      <c r="R27" s="187">
        <f t="shared" ca="1" si="8"/>
        <v>-434.32192113699131</v>
      </c>
      <c r="S27" s="187"/>
      <c r="T27" s="190">
        <f t="shared" ca="1" si="9"/>
        <v>-434.32192113699131</v>
      </c>
      <c r="V27" s="189">
        <f t="shared" ca="1" si="10"/>
        <v>-406.26369353690643</v>
      </c>
      <c r="W27" s="159" t="str">
        <f t="shared" si="12"/>
        <v>P.010</v>
      </c>
    </row>
    <row r="28" spans="1:23" ht="13">
      <c r="A28" s="158" t="s">
        <v>230</v>
      </c>
      <c r="B28" s="156" t="s">
        <v>117</v>
      </c>
      <c r="C28" s="193" t="str">
        <f t="shared" ca="1" si="0"/>
        <v>Bartlesville SE to Coffeyville T Rebuild</v>
      </c>
      <c r="D28" s="181">
        <f t="shared" ca="1" si="0"/>
        <v>2011</v>
      </c>
      <c r="E28" s="182">
        <v>0</v>
      </c>
      <c r="F28" s="183">
        <f t="shared" ca="1" si="1"/>
        <v>0</v>
      </c>
      <c r="G28" s="183">
        <f t="shared" ref="G28:G33" ca="1" si="14">+E28+F28</f>
        <v>0</v>
      </c>
      <c r="H28" s="184"/>
      <c r="I28" s="185">
        <f t="shared" ca="1" si="3"/>
        <v>6781.1841055260156</v>
      </c>
      <c r="J28" s="186">
        <v>110121.97727473144</v>
      </c>
      <c r="K28" s="186">
        <f t="shared" si="4"/>
        <v>123183.58459826212</v>
      </c>
      <c r="L28" s="182">
        <f t="shared" ref="L28:L33" si="15">+J28-K28</f>
        <v>-13061.607323530683</v>
      </c>
      <c r="M28" s="182"/>
      <c r="N28" s="183">
        <v>0</v>
      </c>
      <c r="O28" s="183">
        <v>0</v>
      </c>
      <c r="P28" s="183">
        <f t="shared" si="13"/>
        <v>0</v>
      </c>
      <c r="Q28" s="182">
        <f t="shared" ca="1" si="7"/>
        <v>-433.75164180065804</v>
      </c>
      <c r="R28" s="187">
        <f t="shared" ref="R28:R33" ca="1" si="16">I28+L28+P28+Q28</f>
        <v>-6714.1748598053255</v>
      </c>
      <c r="S28" s="187"/>
      <c r="T28" s="190">
        <f t="shared" ref="T28:T33" ca="1" si="17">+G28+R28</f>
        <v>-6714.1748598053255</v>
      </c>
      <c r="V28" s="189">
        <f t="shared" ref="V28:V33" ca="1" si="18">+I28+L28+P28</f>
        <v>-6280.4232180046674</v>
      </c>
      <c r="W28" s="159" t="str">
        <f t="shared" si="12"/>
        <v>P.011</v>
      </c>
    </row>
    <row r="29" spans="1:23" ht="25">
      <c r="A29" s="158" t="s">
        <v>238</v>
      </c>
      <c r="B29" s="156" t="s">
        <v>117</v>
      </c>
      <c r="C29" s="193" t="str">
        <f t="shared" ca="1" si="0"/>
        <v>Canadian River - McAlester City 138 kV Line Conversion</v>
      </c>
      <c r="D29" s="181">
        <f t="shared" ca="1" si="0"/>
        <v>2012</v>
      </c>
      <c r="E29" s="182">
        <v>0</v>
      </c>
      <c r="F29" s="183">
        <f t="shared" ca="1" si="1"/>
        <v>0</v>
      </c>
      <c r="G29" s="183">
        <f t="shared" ca="1" si="14"/>
        <v>0</v>
      </c>
      <c r="H29" s="184"/>
      <c r="I29" s="185">
        <f t="shared" ca="1" si="3"/>
        <v>15529.147529685055</v>
      </c>
      <c r="J29" s="186">
        <v>266129.53943491704</v>
      </c>
      <c r="K29" s="186">
        <f t="shared" si="4"/>
        <v>297695.25980532827</v>
      </c>
      <c r="L29" s="182">
        <f t="shared" si="15"/>
        <v>-31565.720370411233</v>
      </c>
      <c r="M29" s="182"/>
      <c r="N29" s="183">
        <v>0</v>
      </c>
      <c r="O29" s="183">
        <v>0</v>
      </c>
      <c r="P29" s="183">
        <f t="shared" si="13"/>
        <v>0</v>
      </c>
      <c r="Q29" s="182">
        <f t="shared" ca="1" si="7"/>
        <v>-1107.551124672575</v>
      </c>
      <c r="R29" s="187">
        <f t="shared" ca="1" si="16"/>
        <v>-17144.123965398754</v>
      </c>
      <c r="S29" s="187"/>
      <c r="T29" s="190">
        <f t="shared" ca="1" si="17"/>
        <v>-17144.123965398754</v>
      </c>
      <c r="V29" s="189">
        <f t="shared" ca="1" si="18"/>
        <v>-16036.572840726178</v>
      </c>
      <c r="W29" s="159" t="str">
        <f t="shared" si="12"/>
        <v>P.012</v>
      </c>
    </row>
    <row r="30" spans="1:23" ht="15.75" customHeight="1">
      <c r="A30" s="158" t="s">
        <v>240</v>
      </c>
      <c r="B30" s="156" t="s">
        <v>117</v>
      </c>
      <c r="C30" s="193" t="str">
        <f t="shared" ca="1" si="0"/>
        <v>CoffeyvilleT to Dearing 138 kv Rebuild - 1.1 mi*</v>
      </c>
      <c r="D30" s="181">
        <f t="shared" ca="1" si="0"/>
        <v>2010</v>
      </c>
      <c r="E30" s="182">
        <v>0</v>
      </c>
      <c r="F30" s="183">
        <f t="shared" ca="1" si="1"/>
        <v>0</v>
      </c>
      <c r="G30" s="183">
        <f t="shared" ca="1" si="14"/>
        <v>0</v>
      </c>
      <c r="H30" s="184"/>
      <c r="I30" s="185">
        <f t="shared" ca="1" si="3"/>
        <v>108.68860710137096</v>
      </c>
      <c r="J30" s="186">
        <v>1766.8031170240808</v>
      </c>
      <c r="K30" s="186">
        <f t="shared" si="4"/>
        <v>1976.3642700624566</v>
      </c>
      <c r="L30" s="182">
        <f t="shared" si="15"/>
        <v>-209.56115303837578</v>
      </c>
      <c r="M30" s="182"/>
      <c r="N30" s="183">
        <v>0</v>
      </c>
      <c r="O30" s="183">
        <v>0</v>
      </c>
      <c r="P30" s="183">
        <f t="shared" si="13"/>
        <v>0</v>
      </c>
      <c r="Q30" s="182">
        <f t="shared" ca="1" si="7"/>
        <v>-6.9666694256137989</v>
      </c>
      <c r="R30" s="187">
        <f t="shared" ca="1" si="16"/>
        <v>-107.83921536261862</v>
      </c>
      <c r="S30" s="187"/>
      <c r="T30" s="190">
        <f t="shared" ca="1" si="17"/>
        <v>-107.83921536261862</v>
      </c>
      <c r="V30" s="189">
        <f t="shared" ca="1" si="18"/>
        <v>-100.87254593700482</v>
      </c>
      <c r="W30" s="159" t="str">
        <f t="shared" si="12"/>
        <v>P.013</v>
      </c>
    </row>
    <row r="31" spans="1:23" ht="15.75" customHeight="1">
      <c r="A31" s="194" t="s">
        <v>243</v>
      </c>
      <c r="B31" s="156" t="s">
        <v>117</v>
      </c>
      <c r="C31" s="193" t="str">
        <f t="shared" ca="1" si="0"/>
        <v>Ashdown West - Craig Junction</v>
      </c>
      <c r="D31" s="181">
        <f t="shared" ca="1" si="0"/>
        <v>2013</v>
      </c>
      <c r="E31" s="182">
        <v>0</v>
      </c>
      <c r="F31" s="183">
        <f t="shared" ca="1" si="1"/>
        <v>0</v>
      </c>
      <c r="G31" s="183">
        <f t="shared" ca="1" si="14"/>
        <v>0</v>
      </c>
      <c r="H31" s="184"/>
      <c r="I31" s="185">
        <f t="shared" ca="1" si="3"/>
        <v>13353.309822521944</v>
      </c>
      <c r="J31" s="186">
        <v>85441.557500220122</v>
      </c>
      <c r="K31" s="186">
        <f t="shared" si="4"/>
        <v>95575.811359416126</v>
      </c>
      <c r="L31" s="182">
        <f t="shared" si="15"/>
        <v>-10134.253859196004</v>
      </c>
      <c r="M31" s="182"/>
      <c r="N31" s="183">
        <v>0</v>
      </c>
      <c r="O31" s="183">
        <v>0</v>
      </c>
      <c r="P31" s="183">
        <f t="shared" si="13"/>
        <v>0</v>
      </c>
      <c r="Q31" s="182">
        <f t="shared" ca="1" si="7"/>
        <v>222.32113357233749</v>
      </c>
      <c r="R31" s="187">
        <f t="shared" ca="1" si="16"/>
        <v>3441.3770968982776</v>
      </c>
      <c r="S31" s="187"/>
      <c r="T31" s="190">
        <f t="shared" ca="1" si="17"/>
        <v>3441.3770968982776</v>
      </c>
      <c r="V31" s="189">
        <f t="shared" ca="1" si="18"/>
        <v>3219.05596332594</v>
      </c>
      <c r="W31" s="159" t="str">
        <f t="shared" si="12"/>
        <v>P.014</v>
      </c>
    </row>
    <row r="32" spans="1:23" ht="25.5" customHeight="1">
      <c r="A32" s="194" t="s">
        <v>256</v>
      </c>
      <c r="B32" s="156" t="s">
        <v>117</v>
      </c>
      <c r="C32" s="193" t="str">
        <f t="shared" ca="1" si="0"/>
        <v>Locust Grove to Lone Star 115 kV Rebuild 2.1 miles</v>
      </c>
      <c r="D32" s="181">
        <f t="shared" ca="1" si="0"/>
        <v>2014</v>
      </c>
      <c r="E32" s="182">
        <v>0</v>
      </c>
      <c r="F32" s="183">
        <f t="shared" ca="1" si="1"/>
        <v>0</v>
      </c>
      <c r="G32" s="183">
        <f t="shared" ca="1" si="14"/>
        <v>0</v>
      </c>
      <c r="H32" s="184"/>
      <c r="I32" s="185">
        <f t="shared" ca="1" si="3"/>
        <v>11643.693105987273</v>
      </c>
      <c r="J32" s="186">
        <v>184702.7728227879</v>
      </c>
      <c r="K32" s="186">
        <f t="shared" si="4"/>
        <v>206610.43512492604</v>
      </c>
      <c r="L32" s="182">
        <f t="shared" si="15"/>
        <v>-21907.662302138138</v>
      </c>
      <c r="M32" s="182"/>
      <c r="N32" s="183">
        <v>0</v>
      </c>
      <c r="O32" s="183">
        <v>0</v>
      </c>
      <c r="P32" s="183">
        <f t="shared" si="13"/>
        <v>0</v>
      </c>
      <c r="Q32" s="182">
        <f t="shared" ca="1" si="7"/>
        <v>-708.87157372751903</v>
      </c>
      <c r="R32" s="187">
        <f t="shared" ca="1" si="16"/>
        <v>-10972.840769878385</v>
      </c>
      <c r="S32" s="187"/>
      <c r="T32" s="190">
        <f t="shared" ca="1" si="17"/>
        <v>-10972.840769878385</v>
      </c>
      <c r="V32" s="189">
        <f t="shared" ca="1" si="18"/>
        <v>-10263.969196150865</v>
      </c>
      <c r="W32" s="159" t="str">
        <f t="shared" ref="W32:W39" si="19">A32</f>
        <v>P.015</v>
      </c>
    </row>
    <row r="33" spans="1:23" ht="15.75" customHeight="1">
      <c r="A33" s="194" t="s">
        <v>257</v>
      </c>
      <c r="B33" s="156" t="s">
        <v>117</v>
      </c>
      <c r="C33" s="193" t="str">
        <f t="shared" ca="1" si="0"/>
        <v>Cornville Station Conversion</v>
      </c>
      <c r="D33" s="181">
        <f t="shared" ca="1" si="0"/>
        <v>2014</v>
      </c>
      <c r="E33" s="182">
        <v>0</v>
      </c>
      <c r="F33" s="183">
        <f t="shared" ca="1" si="1"/>
        <v>0</v>
      </c>
      <c r="G33" s="183">
        <f t="shared" ca="1" si="14"/>
        <v>0</v>
      </c>
      <c r="H33" s="184"/>
      <c r="I33" s="185">
        <f t="shared" ca="1" si="3"/>
        <v>27122.602753487648</v>
      </c>
      <c r="J33" s="186">
        <v>421844.3480180956</v>
      </c>
      <c r="K33" s="186">
        <f t="shared" si="4"/>
        <v>471879.45782834676</v>
      </c>
      <c r="L33" s="182">
        <f t="shared" si="15"/>
        <v>-50035.109810251161</v>
      </c>
      <c r="M33" s="182"/>
      <c r="N33" s="183">
        <v>0</v>
      </c>
      <c r="O33" s="183">
        <v>0</v>
      </c>
      <c r="P33" s="183">
        <f t="shared" si="13"/>
        <v>0</v>
      </c>
      <c r="Q33" s="182">
        <f t="shared" ca="1" si="7"/>
        <v>-1582.431184756656</v>
      </c>
      <c r="R33" s="187">
        <f t="shared" ca="1" si="16"/>
        <v>-24494.938241520169</v>
      </c>
      <c r="S33" s="187"/>
      <c r="T33" s="190">
        <f t="shared" ca="1" si="17"/>
        <v>-24494.938241520169</v>
      </c>
      <c r="V33" s="189">
        <f t="shared" ca="1" si="18"/>
        <v>-22912.507056763512</v>
      </c>
      <c r="W33" s="159" t="str">
        <f t="shared" si="19"/>
        <v>P.016</v>
      </c>
    </row>
    <row r="34" spans="1:23" ht="13">
      <c r="A34" s="194" t="s">
        <v>267</v>
      </c>
      <c r="B34" s="156" t="s">
        <v>117</v>
      </c>
      <c r="C34" s="193" t="str">
        <f t="shared" ca="1" si="0"/>
        <v>Grady Customer Connection</v>
      </c>
      <c r="D34" s="181">
        <f t="shared" ca="1" si="0"/>
        <v>2015</v>
      </c>
      <c r="E34" s="182">
        <v>0</v>
      </c>
      <c r="F34" s="183">
        <f t="shared" ca="1" si="1"/>
        <v>0</v>
      </c>
      <c r="G34" s="183">
        <f t="shared" ref="G34:G39" ca="1" si="20">+E34+F34</f>
        <v>0</v>
      </c>
      <c r="H34" s="184"/>
      <c r="I34" s="185">
        <f t="shared" ca="1" si="3"/>
        <v>9319.4896836397238</v>
      </c>
      <c r="J34" s="186">
        <v>143896.17778863962</v>
      </c>
      <c r="K34" s="186">
        <f t="shared" si="4"/>
        <v>160963.75518005501</v>
      </c>
      <c r="L34" s="182">
        <f t="shared" ref="L34:L39" si="21">+J34-K34</f>
        <v>-17067.577391415398</v>
      </c>
      <c r="M34" s="182"/>
      <c r="N34" s="183">
        <v>0</v>
      </c>
      <c r="O34" s="183">
        <v>0</v>
      </c>
      <c r="P34" s="183">
        <f t="shared" ref="P34:P39" si="22">+N34-O34</f>
        <v>0</v>
      </c>
      <c r="Q34" s="182">
        <f t="shared" ca="1" si="7"/>
        <v>-535.11453725421507</v>
      </c>
      <c r="R34" s="187">
        <f t="shared" ref="R34:R39" ca="1" si="23">I34+L34+P34+Q34</f>
        <v>-8283.20224502989</v>
      </c>
      <c r="S34" s="187"/>
      <c r="T34" s="190">
        <f t="shared" ref="T34:T39" ca="1" si="24">+G34+R34</f>
        <v>-8283.20224502989</v>
      </c>
      <c r="U34" s="195"/>
      <c r="V34" s="189">
        <f t="shared" ref="V34:V39" ca="1" si="25">+I34+L34+P34</f>
        <v>-7748.0877077756741</v>
      </c>
      <c r="W34" s="159" t="str">
        <f t="shared" si="19"/>
        <v>P.017</v>
      </c>
    </row>
    <row r="35" spans="1:23" ht="13">
      <c r="A35" s="194" t="s">
        <v>268</v>
      </c>
      <c r="B35" s="156" t="s">
        <v>117</v>
      </c>
      <c r="C35" s="193" t="str">
        <f t="shared" ca="1" si="0"/>
        <v>Darlington-Red Rock 138 kV line</v>
      </c>
      <c r="D35" s="181">
        <f t="shared" ca="1" si="0"/>
        <v>2014</v>
      </c>
      <c r="E35" s="182">
        <v>0</v>
      </c>
      <c r="F35" s="196">
        <f t="shared" ca="1" si="1"/>
        <v>0</v>
      </c>
      <c r="G35" s="196">
        <f t="shared" ca="1" si="20"/>
        <v>0</v>
      </c>
      <c r="H35" s="197"/>
      <c r="I35" s="185">
        <f t="shared" ca="1" si="3"/>
        <v>11519.32583094525</v>
      </c>
      <c r="J35" s="186">
        <v>144866.61995301666</v>
      </c>
      <c r="K35" s="198">
        <f t="shared" si="4"/>
        <v>162049.30183851198</v>
      </c>
      <c r="L35" s="199">
        <f t="shared" si="21"/>
        <v>-17182.681885495316</v>
      </c>
      <c r="M35" s="199"/>
      <c r="N35" s="196">
        <v>0</v>
      </c>
      <c r="O35" s="196">
        <v>0</v>
      </c>
      <c r="P35" s="196">
        <f t="shared" si="22"/>
        <v>0</v>
      </c>
      <c r="Q35" s="199">
        <f t="shared" ca="1" si="7"/>
        <v>-391.13446681754539</v>
      </c>
      <c r="R35" s="200">
        <f t="shared" ca="1" si="23"/>
        <v>-6054.4905213676111</v>
      </c>
      <c r="S35" s="200"/>
      <c r="T35" s="201">
        <f t="shared" ca="1" si="24"/>
        <v>-6054.4905213676111</v>
      </c>
      <c r="U35" s="195"/>
      <c r="V35" s="189">
        <f t="shared" ca="1" si="25"/>
        <v>-5663.3560545500659</v>
      </c>
      <c r="W35" s="159" t="str">
        <f t="shared" si="19"/>
        <v>P.018</v>
      </c>
    </row>
    <row r="36" spans="1:23" ht="13">
      <c r="A36" s="194" t="s">
        <v>275</v>
      </c>
      <c r="B36" s="156" t="s">
        <v>117</v>
      </c>
      <c r="C36" s="193" t="str">
        <f t="shared" ca="1" si="0"/>
        <v>Valliant-NW Texarkana 345 kV</v>
      </c>
      <c r="D36" s="181">
        <f t="shared" ca="1" si="0"/>
        <v>2017</v>
      </c>
      <c r="E36" s="182">
        <v>0</v>
      </c>
      <c r="F36" s="196">
        <f t="shared" ca="1" si="1"/>
        <v>0</v>
      </c>
      <c r="G36" s="196">
        <f t="shared" ca="1" si="20"/>
        <v>0</v>
      </c>
      <c r="H36" s="197"/>
      <c r="I36" s="185">
        <f t="shared" ca="1" si="3"/>
        <v>7862.1077609148633</v>
      </c>
      <c r="J36" s="186">
        <v>116293.15403814024</v>
      </c>
      <c r="K36" s="198">
        <f t="shared" si="4"/>
        <v>130086.72685668421</v>
      </c>
      <c r="L36" s="199">
        <f t="shared" si="21"/>
        <v>-13793.572818543966</v>
      </c>
      <c r="M36" s="199"/>
      <c r="N36" s="196">
        <v>0</v>
      </c>
      <c r="O36" s="196">
        <v>0</v>
      </c>
      <c r="P36" s="196">
        <f t="shared" si="22"/>
        <v>0</v>
      </c>
      <c r="Q36" s="199">
        <f t="shared" ca="1" si="7"/>
        <v>-409.6511680382024</v>
      </c>
      <c r="R36" s="200">
        <f t="shared" ca="1" si="23"/>
        <v>-6341.1162256673051</v>
      </c>
      <c r="S36" s="200"/>
      <c r="T36" s="201">
        <f t="shared" ca="1" si="24"/>
        <v>-6341.1162256673051</v>
      </c>
      <c r="U36" s="195"/>
      <c r="V36" s="189">
        <f t="shared" ca="1" si="25"/>
        <v>-5931.4650576291024</v>
      </c>
      <c r="W36" s="159" t="str">
        <f t="shared" si="19"/>
        <v>P.019</v>
      </c>
    </row>
    <row r="37" spans="1:23" ht="13">
      <c r="A37" s="194" t="s">
        <v>276</v>
      </c>
      <c r="B37" s="156" t="s">
        <v>117</v>
      </c>
      <c r="C37" s="193" t="str">
        <f t="shared" ca="1" si="0"/>
        <v>Sayre 138 kV Capacitor Bank Addition</v>
      </c>
      <c r="D37" s="181">
        <f t="shared" ca="1" si="0"/>
        <v>2018</v>
      </c>
      <c r="E37" s="182">
        <v>0</v>
      </c>
      <c r="F37" s="183">
        <f t="shared" ca="1" si="1"/>
        <v>0</v>
      </c>
      <c r="G37" s="183">
        <f t="shared" ca="1" si="20"/>
        <v>0</v>
      </c>
      <c r="H37" s="184"/>
      <c r="I37" s="185">
        <f t="shared" ca="1" si="3"/>
        <v>16885.559479310585</v>
      </c>
      <c r="J37" s="186">
        <v>230956.55149614011</v>
      </c>
      <c r="K37" s="198">
        <f t="shared" si="4"/>
        <v>258350.39111921025</v>
      </c>
      <c r="L37" s="199">
        <f t="shared" si="21"/>
        <v>-27393.839623070147</v>
      </c>
      <c r="M37" s="199"/>
      <c r="N37" s="196">
        <v>0</v>
      </c>
      <c r="O37" s="196">
        <v>0</v>
      </c>
      <c r="P37" s="196">
        <f t="shared" si="22"/>
        <v>0</v>
      </c>
      <c r="Q37" s="199">
        <f t="shared" ca="1" si="7"/>
        <v>-725.74468417831679</v>
      </c>
      <c r="R37" s="200">
        <f t="shared" ca="1" si="23"/>
        <v>-11234.024827937879</v>
      </c>
      <c r="S37" s="200"/>
      <c r="T37" s="201">
        <f t="shared" ca="1" si="24"/>
        <v>-11234.024827937879</v>
      </c>
      <c r="U37" s="195"/>
      <c r="V37" s="189">
        <f t="shared" ca="1" si="25"/>
        <v>-10508.280143759563</v>
      </c>
      <c r="W37" s="159" t="str">
        <f t="shared" si="19"/>
        <v>P.020</v>
      </c>
    </row>
    <row r="38" spans="1:23" ht="13">
      <c r="A38" s="194" t="s">
        <v>277</v>
      </c>
      <c r="B38" s="156" t="s">
        <v>117</v>
      </c>
      <c r="C38" s="193" t="str">
        <f t="shared" ca="1" si="0"/>
        <v>Darlington-Roman Nose 138 kV</v>
      </c>
      <c r="D38" s="181">
        <f t="shared" ca="1" si="0"/>
        <v>2017</v>
      </c>
      <c r="E38" s="182">
        <v>0</v>
      </c>
      <c r="F38" s="183">
        <f t="shared" ca="1" si="1"/>
        <v>0</v>
      </c>
      <c r="G38" s="183">
        <f t="shared" ca="1" si="20"/>
        <v>0</v>
      </c>
      <c r="H38" s="184"/>
      <c r="I38" s="185">
        <f t="shared" ca="1" si="3"/>
        <v>1544.8698073736887</v>
      </c>
      <c r="J38" s="186">
        <v>41634.718227919562</v>
      </c>
      <c r="K38" s="198">
        <f t="shared" si="4"/>
        <v>46573.027128441943</v>
      </c>
      <c r="L38" s="199">
        <f t="shared" si="21"/>
        <v>-4938.308900522381</v>
      </c>
      <c r="M38" s="199"/>
      <c r="N38" s="196">
        <v>0</v>
      </c>
      <c r="O38" s="196">
        <v>0</v>
      </c>
      <c r="P38" s="196">
        <f t="shared" si="22"/>
        <v>0</v>
      </c>
      <c r="Q38" s="199">
        <f t="shared" ca="1" si="7"/>
        <v>-234.36474373002798</v>
      </c>
      <c r="R38" s="200">
        <f t="shared" ca="1" si="23"/>
        <v>-3627.8038368787202</v>
      </c>
      <c r="S38" s="200"/>
      <c r="T38" s="201">
        <f t="shared" ca="1" si="24"/>
        <v>-3627.8038368787202</v>
      </c>
      <c r="U38" s="195"/>
      <c r="V38" s="189">
        <f t="shared" ca="1" si="25"/>
        <v>-3393.4390931486923</v>
      </c>
      <c r="W38" s="159" t="str">
        <f t="shared" si="19"/>
        <v>P.021</v>
      </c>
    </row>
    <row r="39" spans="1:23" ht="13">
      <c r="A39" s="194" t="s">
        <v>278</v>
      </c>
      <c r="B39" s="156" t="s">
        <v>117</v>
      </c>
      <c r="C39" s="193" t="str">
        <f t="shared" ca="1" si="0"/>
        <v>Northeastern Station 138 kV Terminal Upgrades</v>
      </c>
      <c r="D39" s="181">
        <f t="shared" ca="1" si="0"/>
        <v>2018</v>
      </c>
      <c r="E39" s="182">
        <v>0</v>
      </c>
      <c r="F39" s="183">
        <f t="shared" ca="1" si="1"/>
        <v>0</v>
      </c>
      <c r="G39" s="183">
        <f t="shared" ca="1" si="20"/>
        <v>0</v>
      </c>
      <c r="H39" s="184"/>
      <c r="I39" s="185">
        <f t="shared" ca="1" si="3"/>
        <v>1495.6762757638171</v>
      </c>
      <c r="J39" s="186">
        <v>23493.6762410347</v>
      </c>
      <c r="K39" s="198">
        <f t="shared" si="4"/>
        <v>26280.269628120299</v>
      </c>
      <c r="L39" s="199">
        <f t="shared" si="21"/>
        <v>-2786.5933870855988</v>
      </c>
      <c r="M39" s="199"/>
      <c r="N39" s="196">
        <v>0</v>
      </c>
      <c r="O39" s="196">
        <v>0</v>
      </c>
      <c r="P39" s="196">
        <f t="shared" si="22"/>
        <v>0</v>
      </c>
      <c r="Q39" s="199">
        <f t="shared" ca="1" si="7"/>
        <v>-89.15600064326263</v>
      </c>
      <c r="R39" s="200">
        <f t="shared" ca="1" si="23"/>
        <v>-1380.0731119650443</v>
      </c>
      <c r="S39" s="200"/>
      <c r="T39" s="201">
        <f t="shared" ca="1" si="24"/>
        <v>-1380.0731119650443</v>
      </c>
      <c r="U39" s="195"/>
      <c r="V39" s="189">
        <f t="shared" ca="1" si="25"/>
        <v>-1290.9171113217817</v>
      </c>
      <c r="W39" s="159" t="str">
        <f t="shared" si="19"/>
        <v>P.022</v>
      </c>
    </row>
    <row r="40" spans="1:23" ht="13">
      <c r="A40" s="194" t="s">
        <v>310</v>
      </c>
      <c r="B40" s="156" t="s">
        <v>117</v>
      </c>
      <c r="C40" s="193" t="str">
        <f t="shared" ca="1" si="0"/>
        <v>Elk City 138KV Move Load</v>
      </c>
      <c r="D40" s="181">
        <f t="shared" ca="1" si="0"/>
        <v>2018</v>
      </c>
      <c r="E40" s="182">
        <v>0</v>
      </c>
      <c r="F40" s="183">
        <f t="shared" ca="1" si="1"/>
        <v>0</v>
      </c>
      <c r="G40" s="183">
        <f t="shared" ref="G40:G45" ca="1" si="26">+E40+F40</f>
        <v>0</v>
      </c>
      <c r="H40" s="184"/>
      <c r="I40" s="185">
        <f t="shared" ca="1" si="3"/>
        <v>3967.2982258127013</v>
      </c>
      <c r="J40" s="186">
        <v>95792.523927340022</v>
      </c>
      <c r="K40" s="198">
        <f t="shared" si="4"/>
        <v>107154.50963658075</v>
      </c>
      <c r="L40" s="199">
        <f t="shared" ref="L40:L45" si="27">+J40-K40</f>
        <v>-11361.985709240733</v>
      </c>
      <c r="M40" s="199"/>
      <c r="N40" s="196">
        <v>0</v>
      </c>
      <c r="O40" s="196">
        <v>0</v>
      </c>
      <c r="P40" s="196">
        <f t="shared" ref="P40:P45" si="28">+N40-O40</f>
        <v>0</v>
      </c>
      <c r="Q40" s="199">
        <f t="shared" ca="1" si="7"/>
        <v>-510.70727643713093</v>
      </c>
      <c r="R40" s="200">
        <f t="shared" ref="R40:R45" ca="1" si="29">I40+L40+P40+Q40</f>
        <v>-7905.3947598651621</v>
      </c>
      <c r="S40" s="200"/>
      <c r="T40" s="201">
        <f t="shared" ref="T40:T45" ca="1" si="30">+G40+R40</f>
        <v>-7905.3947598651621</v>
      </c>
      <c r="U40" s="195"/>
      <c r="V40" s="189">
        <f t="shared" ref="V40:V45" ca="1" si="31">+I40+L40+P40</f>
        <v>-7394.6874834280316</v>
      </c>
      <c r="W40" s="159" t="str">
        <f>A40</f>
        <v>P.023</v>
      </c>
    </row>
    <row r="41" spans="1:23" ht="13">
      <c r="A41" s="194" t="s">
        <v>311</v>
      </c>
      <c r="B41" s="156" t="s">
        <v>117</v>
      </c>
      <c r="C41" s="193" t="str">
        <f t="shared" ca="1" si="0"/>
        <v>Duncan-Comanche Tap 69 KV Rebuild</v>
      </c>
      <c r="D41" s="181">
        <f t="shared" ca="1" si="0"/>
        <v>2018</v>
      </c>
      <c r="E41" s="182">
        <v>0</v>
      </c>
      <c r="F41" s="183">
        <f t="shared" ca="1" si="1"/>
        <v>0</v>
      </c>
      <c r="G41" s="183">
        <f t="shared" ca="1" si="26"/>
        <v>0</v>
      </c>
      <c r="H41" s="184"/>
      <c r="I41" s="185">
        <f t="shared" ca="1" si="3"/>
        <v>7881.8755335064197</v>
      </c>
      <c r="J41" s="186">
        <v>4231.6001095233987</v>
      </c>
      <c r="K41" s="198">
        <f t="shared" si="4"/>
        <v>4733.5117201632365</v>
      </c>
      <c r="L41" s="199">
        <f t="shared" si="27"/>
        <v>-501.91161063983782</v>
      </c>
      <c r="M41" s="199"/>
      <c r="N41" s="196">
        <v>0</v>
      </c>
      <c r="O41" s="196">
        <v>0</v>
      </c>
      <c r="P41" s="196">
        <f t="shared" si="28"/>
        <v>0</v>
      </c>
      <c r="Q41" s="199">
        <f t="shared" ca="1" si="7"/>
        <v>509.69040729551449</v>
      </c>
      <c r="R41" s="200">
        <f t="shared" ca="1" si="29"/>
        <v>7889.6543301620968</v>
      </c>
      <c r="S41" s="200"/>
      <c r="T41" s="201">
        <f t="shared" ca="1" si="30"/>
        <v>7889.6543301620968</v>
      </c>
      <c r="U41" s="195"/>
      <c r="V41" s="189">
        <f t="shared" ca="1" si="31"/>
        <v>7379.9639228665819</v>
      </c>
      <c r="W41" s="159" t="str">
        <f>A41</f>
        <v>P.024</v>
      </c>
    </row>
    <row r="42" spans="1:23" ht="13">
      <c r="A42" s="194" t="s">
        <v>325</v>
      </c>
      <c r="B42" s="156" t="s">
        <v>117</v>
      </c>
      <c r="C42" s="193" t="str">
        <f t="shared" ca="1" si="0"/>
        <v>Fort Towson-Valliant Line Rebuild</v>
      </c>
      <c r="D42" s="181">
        <f t="shared" ca="1" si="0"/>
        <v>2018</v>
      </c>
      <c r="E42" s="182">
        <v>0</v>
      </c>
      <c r="F42" s="183">
        <f t="shared" ca="1" si="1"/>
        <v>0</v>
      </c>
      <c r="G42" s="183">
        <f t="shared" ca="1" si="26"/>
        <v>0</v>
      </c>
      <c r="H42" s="197"/>
      <c r="I42" s="185">
        <f t="shared" ca="1" si="3"/>
        <v>2746.7376804074811</v>
      </c>
      <c r="J42" s="186">
        <v>96724.215528070854</v>
      </c>
      <c r="K42" s="198">
        <f t="shared" si="4"/>
        <v>108196.70951310307</v>
      </c>
      <c r="L42" s="199">
        <f t="shared" si="27"/>
        <v>-11472.493985032212</v>
      </c>
      <c r="M42" s="199"/>
      <c r="N42" s="196">
        <v>0</v>
      </c>
      <c r="O42" s="196">
        <v>0</v>
      </c>
      <c r="P42" s="196">
        <f t="shared" si="28"/>
        <v>0</v>
      </c>
      <c r="Q42" s="199">
        <f t="shared" ca="1" si="7"/>
        <v>-602.63631792092497</v>
      </c>
      <c r="R42" s="200">
        <f t="shared" ca="1" si="29"/>
        <v>-9328.3926225456562</v>
      </c>
      <c r="S42" s="200"/>
      <c r="T42" s="201">
        <f t="shared" ca="1" si="30"/>
        <v>-9328.3926225456562</v>
      </c>
      <c r="U42" s="195"/>
      <c r="V42" s="189">
        <f t="shared" ca="1" si="31"/>
        <v>-8725.7563046247305</v>
      </c>
      <c r="W42" s="159" t="str">
        <f>A42</f>
        <v>P.025</v>
      </c>
    </row>
    <row r="43" spans="1:23" ht="13">
      <c r="A43" s="194" t="s">
        <v>340</v>
      </c>
      <c r="B43" s="156" t="s">
        <v>117</v>
      </c>
      <c r="C43" s="618" t="str">
        <f t="shared" ca="1" si="0"/>
        <v>Tulsa Southeast - E. 61st St 138 kV Rebuild</v>
      </c>
      <c r="D43" s="181">
        <f t="shared" ca="1" si="0"/>
        <v>2019</v>
      </c>
      <c r="E43" s="182">
        <v>0</v>
      </c>
      <c r="F43" s="183">
        <f t="shared" ca="1" si="1"/>
        <v>0</v>
      </c>
      <c r="G43" s="183">
        <f t="shared" ca="1" si="26"/>
        <v>0</v>
      </c>
      <c r="H43" s="197"/>
      <c r="I43" s="185">
        <f t="shared" ca="1" si="3"/>
        <v>183480.21872727713</v>
      </c>
      <c r="J43" s="186">
        <v>934062.15757277235</v>
      </c>
      <c r="K43" s="198">
        <f t="shared" si="4"/>
        <v>1044851.6059636965</v>
      </c>
      <c r="L43" s="199">
        <f t="shared" si="27"/>
        <v>-110789.44839092414</v>
      </c>
      <c r="M43" s="199"/>
      <c r="N43" s="196">
        <v>0</v>
      </c>
      <c r="O43" s="196">
        <v>0</v>
      </c>
      <c r="P43" s="196">
        <f t="shared" si="28"/>
        <v>0</v>
      </c>
      <c r="Q43" s="199">
        <f t="shared" ca="1" si="7"/>
        <v>5020.3210647904216</v>
      </c>
      <c r="R43" s="200">
        <f t="shared" ca="1" si="29"/>
        <v>77711.091401143407</v>
      </c>
      <c r="S43" s="200"/>
      <c r="T43" s="201">
        <f t="shared" ca="1" si="30"/>
        <v>77711.091401143407</v>
      </c>
      <c r="U43" s="195"/>
      <c r="V43" s="189">
        <f t="shared" ca="1" si="31"/>
        <v>72690.770336352987</v>
      </c>
      <c r="W43" s="159" t="str">
        <f>A43</f>
        <v>P.026</v>
      </c>
    </row>
    <row r="44" spans="1:23" ht="13">
      <c r="A44" s="194" t="s">
        <v>341</v>
      </c>
      <c r="B44" s="156" t="s">
        <v>117</v>
      </c>
      <c r="C44" s="619" t="str">
        <f t="shared" ca="1" si="0"/>
        <v>Broken Arrow North-Lynn Lane East 138 kV</v>
      </c>
      <c r="D44" s="181">
        <f t="shared" ca="1" si="0"/>
        <v>2019</v>
      </c>
      <c r="E44" s="182">
        <v>0</v>
      </c>
      <c r="F44" s="183">
        <f t="shared" ca="1" si="1"/>
        <v>0</v>
      </c>
      <c r="G44" s="183">
        <f t="shared" ca="1" si="26"/>
        <v>0</v>
      </c>
      <c r="H44" s="197"/>
      <c r="I44" s="185">
        <f t="shared" ca="1" si="3"/>
        <v>130513.70880755782</v>
      </c>
      <c r="J44" s="186">
        <v>552918.85124067403</v>
      </c>
      <c r="K44" s="198">
        <f t="shared" si="4"/>
        <v>618500.75501148938</v>
      </c>
      <c r="L44" s="199">
        <f t="shared" si="27"/>
        <v>-65581.903770815348</v>
      </c>
      <c r="M44" s="199"/>
      <c r="N44" s="196">
        <v>0</v>
      </c>
      <c r="O44" s="196">
        <v>0</v>
      </c>
      <c r="P44" s="196">
        <f t="shared" si="28"/>
        <v>0</v>
      </c>
      <c r="Q44" s="199">
        <f ca="1">+V44/$V$47 * $Q$47</f>
        <v>4484.4552766804254</v>
      </c>
      <c r="R44" s="200">
        <f t="shared" ca="1" si="29"/>
        <v>69416.260313422899</v>
      </c>
      <c r="S44" s="200"/>
      <c r="T44" s="201">
        <f t="shared" ca="1" si="30"/>
        <v>69416.260313422899</v>
      </c>
      <c r="U44" s="195"/>
      <c r="V44" s="189">
        <f t="shared" ca="1" si="31"/>
        <v>64931.805036742473</v>
      </c>
      <c r="W44" s="159" t="str">
        <f>A44</f>
        <v>P.027</v>
      </c>
    </row>
    <row r="45" spans="1:23" ht="13">
      <c r="A45" s="194" t="s">
        <v>348</v>
      </c>
      <c r="B45" s="156" t="s">
        <v>117</v>
      </c>
      <c r="C45" s="621" t="str">
        <f t="shared" ca="1" si="0"/>
        <v>Keystone Dam - Wekiwa 138 kV</v>
      </c>
      <c r="D45" s="181">
        <f t="shared" ca="1" si="0"/>
        <v>2020</v>
      </c>
      <c r="E45" s="182">
        <v>0</v>
      </c>
      <c r="F45" s="183">
        <f t="shared" ca="1" si="1"/>
        <v>0</v>
      </c>
      <c r="G45" s="183">
        <f t="shared" ca="1" si="26"/>
        <v>0</v>
      </c>
      <c r="H45" s="197"/>
      <c r="I45" s="185">
        <f t="shared" ca="1" si="3"/>
        <v>36368.72214213702</v>
      </c>
      <c r="J45" s="186">
        <v>109448.17204091245</v>
      </c>
      <c r="K45" s="198">
        <f t="shared" si="4"/>
        <v>122429.85908336492</v>
      </c>
      <c r="L45" s="199">
        <f t="shared" si="27"/>
        <v>-12981.687042452468</v>
      </c>
      <c r="M45" s="199"/>
      <c r="N45" s="196">
        <v>0</v>
      </c>
      <c r="O45" s="196">
        <v>0</v>
      </c>
      <c r="P45" s="196">
        <f t="shared" si="28"/>
        <v>0</v>
      </c>
      <c r="Q45" s="199">
        <f ca="1">+V45/$V$47 * $Q$47</f>
        <v>1615.2040267376535</v>
      </c>
      <c r="R45" s="200">
        <f t="shared" ca="1" si="29"/>
        <v>25002.239126422206</v>
      </c>
      <c r="S45" s="200"/>
      <c r="T45" s="201">
        <f t="shared" ca="1" si="30"/>
        <v>25002.239126422206</v>
      </c>
      <c r="U45" s="195"/>
      <c r="V45" s="189">
        <f t="shared" ca="1" si="31"/>
        <v>23387.035099684552</v>
      </c>
      <c r="W45" s="159">
        <f>A48</f>
        <v>0</v>
      </c>
    </row>
    <row r="46" spans="1:23" ht="13">
      <c r="A46" s="159"/>
      <c r="B46" s="159"/>
      <c r="C46" s="159"/>
      <c r="D46" s="156"/>
      <c r="E46" s="200"/>
      <c r="F46" s="200"/>
      <c r="G46" s="200"/>
      <c r="H46" s="187"/>
      <c r="I46" s="200"/>
      <c r="J46" s="200"/>
      <c r="K46" s="202"/>
      <c r="L46" s="200"/>
      <c r="M46" s="200"/>
      <c r="N46" s="200"/>
      <c r="O46" s="200"/>
      <c r="P46" s="200"/>
      <c r="Q46" s="200"/>
      <c r="R46" s="200"/>
      <c r="S46" s="187"/>
      <c r="T46" s="201"/>
      <c r="V46" s="179"/>
    </row>
    <row r="47" spans="1:23" ht="13">
      <c r="A47" s="159"/>
      <c r="B47" s="159"/>
      <c r="C47" s="203" t="s">
        <v>177</v>
      </c>
      <c r="D47" s="156"/>
      <c r="E47" s="187">
        <f>SUM(E18:E46)</f>
        <v>0</v>
      </c>
      <c r="F47" s="187">
        <f ca="1">SUM(F18:F46)</f>
        <v>0</v>
      </c>
      <c r="G47" s="187">
        <f ca="1">SUM(G18:G46)</f>
        <v>0</v>
      </c>
      <c r="H47" s="187"/>
      <c r="I47" s="187">
        <f ca="1">SUM(I18:I46)</f>
        <v>634841.72516180703</v>
      </c>
      <c r="J47" s="187">
        <f>SUM(J18:J46)</f>
        <v>6058346.9541358249</v>
      </c>
      <c r="K47" s="187">
        <v>6776929.6648985725</v>
      </c>
      <c r="L47" s="187">
        <f>SUM(L18:L46)</f>
        <v>-718582.71076274756</v>
      </c>
      <c r="M47" s="187">
        <f>SUM(M18:M42)</f>
        <v>0</v>
      </c>
      <c r="N47" s="187">
        <f>SUM(N18:N46)</f>
        <v>0</v>
      </c>
      <c r="O47" s="187">
        <f>SUM(O18:O46)</f>
        <v>0</v>
      </c>
      <c r="P47" s="187">
        <f>SUM(P18:P46)</f>
        <v>0</v>
      </c>
      <c r="Q47" s="187">
        <v>-5783.4939986661047</v>
      </c>
      <c r="R47" s="187">
        <f ca="1">SUM(R18:R46)</f>
        <v>-89524.479599606668</v>
      </c>
      <c r="S47" s="187">
        <f>SUM(S18:S42)</f>
        <v>0</v>
      </c>
      <c r="T47" s="190">
        <f ca="1">SUM(T18:T46)</f>
        <v>-89524.479599606668</v>
      </c>
      <c r="V47" s="190">
        <f ca="1">SUM(V18:V46)</f>
        <v>-83740.985600940621</v>
      </c>
      <c r="W47" s="204" t="s">
        <v>270</v>
      </c>
    </row>
    <row r="48" spans="1:23" ht="13.5" thickBot="1">
      <c r="A48" s="159"/>
      <c r="B48" s="159"/>
      <c r="C48" s="205"/>
      <c r="D48" s="159"/>
      <c r="E48" s="206"/>
      <c r="F48" s="207" t="str">
        <f ca="1">IF(F47=PSO.WS.F.BPU.ATRR.Projected!O19,"","Error")</f>
        <v/>
      </c>
      <c r="G48" s="207"/>
      <c r="H48" s="159"/>
      <c r="I48" s="208" t="str">
        <f ca="1">IF(ROUND(I47,0)=ROUND('PSO.WS.G.BPU.ATRR.True-up'!N19,0),"","Error")</f>
        <v/>
      </c>
      <c r="J48" s="209"/>
      <c r="K48" s="210" t="str">
        <f>IF(K47=SUM(K18:K46),"","Error -- check allocations above).")</f>
        <v/>
      </c>
      <c r="L48" s="211"/>
      <c r="M48" s="211"/>
      <c r="N48" s="211"/>
      <c r="O48" s="211"/>
      <c r="P48" s="211"/>
      <c r="Q48" s="210" t="str">
        <f ca="1">IF(Q47=SUM(Q18:Q46),"","Error -- check allocations above).")</f>
        <v/>
      </c>
      <c r="R48" s="187"/>
      <c r="S48" s="187"/>
      <c r="T48" s="187"/>
      <c r="V48" s="212"/>
      <c r="W48" s="204"/>
    </row>
    <row r="49" spans="1:22" ht="12.5">
      <c r="A49" s="159"/>
      <c r="B49" s="159"/>
      <c r="C49" s="213" t="s">
        <v>217</v>
      </c>
      <c r="D49" s="159"/>
      <c r="E49" s="187"/>
      <c r="F49" s="187"/>
      <c r="G49" s="187"/>
      <c r="H49" s="159"/>
      <c r="I49" s="214"/>
      <c r="J49" s="214"/>
      <c r="K49" s="159"/>
      <c r="L49" s="159"/>
      <c r="M49" s="159"/>
      <c r="N49" s="211"/>
      <c r="O49" s="211"/>
      <c r="P49" s="211"/>
      <c r="Q49" s="211"/>
      <c r="R49" s="187"/>
      <c r="S49" s="187"/>
      <c r="T49" s="187"/>
    </row>
    <row r="50" spans="1:22" ht="12.5">
      <c r="A50" s="159"/>
      <c r="B50" s="159"/>
      <c r="C50" s="213"/>
      <c r="D50" s="159"/>
      <c r="E50" s="187"/>
      <c r="F50" s="187"/>
      <c r="G50" s="187"/>
      <c r="H50" s="159"/>
      <c r="I50" s="215"/>
      <c r="J50" s="216"/>
      <c r="K50" s="186"/>
      <c r="L50" s="159"/>
      <c r="M50" s="159"/>
      <c r="N50" s="211"/>
      <c r="O50" s="211"/>
      <c r="P50" s="211"/>
      <c r="Q50" s="211"/>
      <c r="R50" s="211"/>
      <c r="S50" s="159"/>
      <c r="T50" s="159"/>
    </row>
    <row r="51" spans="1:22" ht="12.5">
      <c r="E51" s="217"/>
      <c r="F51" s="217"/>
      <c r="G51" s="217"/>
      <c r="I51" s="217"/>
      <c r="J51" s="218"/>
      <c r="N51" s="219"/>
      <c r="O51" s="219"/>
      <c r="P51" s="219"/>
      <c r="Q51" s="220"/>
      <c r="R51" s="219"/>
    </row>
    <row r="52" spans="1:22" ht="12.5">
      <c r="E52" s="217"/>
      <c r="F52" s="217"/>
      <c r="G52" s="217"/>
    </row>
    <row r="53" spans="1:22" ht="12.5">
      <c r="A53" s="221" t="s">
        <v>188</v>
      </c>
      <c r="B53" s="222"/>
      <c r="C53" s="222"/>
      <c r="D53" s="222"/>
      <c r="E53" s="223"/>
      <c r="F53" s="223"/>
      <c r="G53" s="223"/>
      <c r="H53" s="222"/>
      <c r="I53" s="222"/>
      <c r="J53" s="222"/>
      <c r="K53" s="222"/>
      <c r="L53" s="222"/>
      <c r="M53" s="222"/>
      <c r="N53" s="222"/>
      <c r="O53" s="224"/>
      <c r="V53" s="148" t="s">
        <v>201</v>
      </c>
    </row>
    <row r="54" spans="1:22" ht="15.5">
      <c r="A54" s="225" t="s">
        <v>191</v>
      </c>
      <c r="B54" s="195"/>
      <c r="C54" s="226" t="str">
        <f ca="1">RIGHT(CELL("address",P.001!D7),4)</f>
        <v>$D$7</v>
      </c>
      <c r="D54" s="226" t="str">
        <f ca="1">RIGHT(CELL("address",P.001!D11),4)</f>
        <v>D$11</v>
      </c>
      <c r="E54" s="226" t="str">
        <f ca="1">RIGHT(CELL("address",P.001!N5),4)</f>
        <v>$N$5</v>
      </c>
      <c r="F54" s="226" t="str">
        <f ca="1">RIGHT(CELL("address",P.001!N7),4)</f>
        <v>$N$7</v>
      </c>
      <c r="G54" s="195"/>
      <c r="H54" s="227"/>
      <c r="I54" s="226" t="str">
        <f ca="1">RIGHT(CELL("address",P.001!M89),4)</f>
        <v>M$89</v>
      </c>
      <c r="J54" s="226"/>
      <c r="K54" s="195"/>
      <c r="L54" s="195"/>
      <c r="M54" s="195"/>
      <c r="N54" s="226" t="str">
        <f ca="1">RIGHT(CELL("address",P.001!N87),4)</f>
        <v>N$87</v>
      </c>
      <c r="O54" s="228" t="str">
        <f ca="1">RIGHT(CELL("address",P.001!N88),4)</f>
        <v>N$88</v>
      </c>
      <c r="P54" s="178" t="s">
        <v>190</v>
      </c>
      <c r="V54" s="148" t="s">
        <v>202</v>
      </c>
    </row>
    <row r="55" spans="1:22" ht="12.5">
      <c r="A55" s="229" t="s">
        <v>192</v>
      </c>
      <c r="B55" s="230"/>
      <c r="C55" s="230"/>
      <c r="D55" s="230"/>
      <c r="E55" s="231"/>
      <c r="F55" s="231"/>
      <c r="G55" s="231"/>
      <c r="H55" s="230"/>
      <c r="I55" s="230"/>
      <c r="J55" s="230"/>
      <c r="K55" s="230"/>
      <c r="L55" s="230"/>
      <c r="M55" s="230"/>
      <c r="N55" s="230"/>
      <c r="O55" s="232"/>
      <c r="V55" s="148" t="s">
        <v>203</v>
      </c>
    </row>
    <row r="56" spans="1:22" ht="12.5">
      <c r="E56" s="217"/>
      <c r="F56" s="217"/>
      <c r="G56" s="217"/>
      <c r="V56" s="148" t="s">
        <v>204</v>
      </c>
    </row>
    <row r="57" spans="1:22" ht="12.5">
      <c r="A57" s="233" t="s">
        <v>244</v>
      </c>
      <c r="B57" s="233" t="s">
        <v>245</v>
      </c>
      <c r="E57" s="217"/>
      <c r="F57" s="217"/>
      <c r="G57" s="217"/>
      <c r="V57" s="234" t="s">
        <v>225</v>
      </c>
    </row>
    <row r="58" spans="1:22" ht="12.5">
      <c r="B58" s="233" t="s">
        <v>248</v>
      </c>
      <c r="E58" s="217"/>
      <c r="F58" s="217"/>
      <c r="G58" s="217"/>
    </row>
    <row r="59" spans="1:22" ht="12.5">
      <c r="B59" s="233" t="s">
        <v>249</v>
      </c>
      <c r="E59" s="217"/>
      <c r="F59" s="217"/>
      <c r="G59" s="217"/>
    </row>
    <row r="60" spans="1:22" ht="12.5">
      <c r="B60" s="233" t="s">
        <v>246</v>
      </c>
      <c r="E60" s="217"/>
      <c r="F60" s="217"/>
      <c r="G60" s="217"/>
      <c r="K60" s="237"/>
    </row>
    <row r="61" spans="1:22" ht="12.5">
      <c r="B61" s="233" t="s">
        <v>247</v>
      </c>
      <c r="E61" s="217"/>
      <c r="F61" s="217"/>
      <c r="G61" s="217"/>
      <c r="K61" s="235"/>
    </row>
    <row r="62" spans="1:22" ht="12.5">
      <c r="B62" s="233" t="s">
        <v>250</v>
      </c>
      <c r="E62" s="217"/>
      <c r="F62" s="217"/>
      <c r="G62" s="217"/>
    </row>
    <row r="65" spans="5:10" ht="12.75" customHeight="1">
      <c r="E65" s="160"/>
      <c r="F65" s="160"/>
      <c r="G65" s="160"/>
      <c r="H65" s="160"/>
      <c r="I65" s="236"/>
      <c r="J65" s="236"/>
    </row>
    <row r="67" spans="5:10" ht="12.75" customHeight="1">
      <c r="E67" s="215"/>
      <c r="F67" s="215"/>
      <c r="G67" s="237"/>
      <c r="H67" s="237"/>
      <c r="I67" s="238"/>
      <c r="J67" s="239"/>
    </row>
    <row r="68" spans="5:10" ht="12.75" customHeight="1">
      <c r="E68" s="215"/>
      <c r="F68" s="215"/>
      <c r="G68" s="237"/>
      <c r="H68" s="237"/>
      <c r="I68" s="238"/>
      <c r="J68" s="239"/>
    </row>
    <row r="69" spans="5:10" ht="12.75" customHeight="1">
      <c r="E69" s="215"/>
      <c r="F69" s="215"/>
      <c r="G69" s="237"/>
      <c r="H69" s="237"/>
      <c r="I69" s="238"/>
      <c r="J69" s="239"/>
    </row>
    <row r="70" spans="5:10" ht="12.75" customHeight="1">
      <c r="E70" s="215"/>
      <c r="F70" s="215"/>
      <c r="G70" s="237"/>
      <c r="H70" s="237"/>
      <c r="I70" s="238"/>
      <c r="J70" s="239"/>
    </row>
    <row r="71" spans="5:10" ht="12.75" customHeight="1">
      <c r="E71" s="215"/>
      <c r="F71" s="215"/>
      <c r="G71" s="237"/>
      <c r="H71" s="237"/>
      <c r="I71" s="238"/>
      <c r="J71" s="239"/>
    </row>
    <row r="72" spans="5:10" ht="12.75" customHeight="1">
      <c r="E72" s="215"/>
      <c r="F72" s="215"/>
      <c r="G72" s="237"/>
      <c r="H72" s="237"/>
      <c r="I72" s="238"/>
      <c r="J72" s="239"/>
    </row>
    <row r="73" spans="5:10" ht="12.75" customHeight="1">
      <c r="E73" s="215"/>
      <c r="F73" s="215"/>
      <c r="G73" s="237"/>
      <c r="H73" s="237"/>
      <c r="I73" s="238"/>
      <c r="J73" s="239"/>
    </row>
    <row r="74" spans="5:10" ht="12.75" customHeight="1">
      <c r="E74" s="215"/>
      <c r="F74" s="215"/>
      <c r="G74" s="237"/>
      <c r="H74" s="237"/>
      <c r="I74" s="238"/>
      <c r="J74" s="239"/>
    </row>
    <row r="75" spans="5:10" ht="12.75" customHeight="1">
      <c r="E75" s="215"/>
      <c r="F75" s="215"/>
      <c r="G75" s="237"/>
      <c r="H75" s="237"/>
      <c r="I75" s="238"/>
      <c r="J75" s="239"/>
    </row>
    <row r="76" spans="5:10" ht="12.75" customHeight="1">
      <c r="E76" s="215"/>
      <c r="F76" s="215"/>
      <c r="G76" s="237"/>
      <c r="H76" s="237"/>
      <c r="I76" s="238"/>
      <c r="J76" s="239"/>
    </row>
    <row r="77" spans="5:10" ht="12.75" customHeight="1">
      <c r="E77" s="215"/>
      <c r="F77" s="215"/>
      <c r="G77" s="237"/>
      <c r="H77" s="237"/>
      <c r="I77" s="238"/>
      <c r="J77" s="239"/>
    </row>
    <row r="78" spans="5:10" ht="12.75" customHeight="1">
      <c r="E78" s="215"/>
      <c r="F78" s="215"/>
      <c r="G78" s="237"/>
      <c r="H78" s="237"/>
      <c r="I78" s="238"/>
      <c r="J78" s="239"/>
    </row>
    <row r="79" spans="5:10" ht="12.75" customHeight="1">
      <c r="E79" s="215"/>
      <c r="F79" s="215"/>
      <c r="G79" s="237"/>
      <c r="H79" s="237"/>
      <c r="I79" s="238"/>
      <c r="J79" s="239"/>
    </row>
    <row r="80" spans="5:10" ht="12.75" customHeight="1">
      <c r="E80" s="215"/>
      <c r="F80" s="215"/>
      <c r="G80" s="237"/>
      <c r="H80" s="237"/>
      <c r="I80" s="238"/>
      <c r="J80" s="239"/>
    </row>
    <row r="81" spans="5:10" ht="12.75" customHeight="1">
      <c r="E81" s="215"/>
      <c r="F81" s="215"/>
      <c r="G81" s="237"/>
      <c r="H81" s="237"/>
      <c r="I81" s="238"/>
      <c r="J81" s="239"/>
    </row>
    <row r="82" spans="5:10" ht="12.75" customHeight="1">
      <c r="E82" s="215"/>
      <c r="F82" s="215"/>
      <c r="G82" s="237"/>
      <c r="H82" s="237"/>
      <c r="I82" s="238"/>
      <c r="J82" s="239"/>
    </row>
    <row r="83" spans="5:10" ht="12.75" customHeight="1">
      <c r="E83" s="215"/>
      <c r="F83" s="215"/>
      <c r="G83" s="237"/>
      <c r="H83" s="237"/>
      <c r="I83" s="238"/>
      <c r="J83" s="239"/>
    </row>
    <row r="84" spans="5:10" ht="12.75" customHeight="1">
      <c r="E84" s="215"/>
      <c r="F84" s="215"/>
      <c r="G84" s="237"/>
      <c r="H84" s="237"/>
      <c r="I84" s="238"/>
      <c r="J84" s="239"/>
    </row>
    <row r="85" spans="5:10" ht="12.75" customHeight="1">
      <c r="E85" s="215"/>
      <c r="F85" s="215"/>
      <c r="G85" s="237"/>
      <c r="H85" s="237"/>
      <c r="I85" s="238"/>
      <c r="J85" s="239"/>
    </row>
    <row r="86" spans="5:10" ht="12.75" customHeight="1">
      <c r="E86" s="215"/>
      <c r="F86" s="215"/>
      <c r="G86" s="237"/>
      <c r="H86" s="237"/>
      <c r="I86" s="238"/>
      <c r="J86" s="239"/>
    </row>
    <row r="87" spans="5:10" ht="12.75" customHeight="1">
      <c r="E87" s="215"/>
      <c r="F87" s="215"/>
      <c r="G87" s="237"/>
      <c r="H87" s="237"/>
      <c r="I87" s="238"/>
      <c r="J87" s="239"/>
    </row>
    <row r="88" spans="5:10" ht="12.75" customHeight="1">
      <c r="E88" s="215"/>
      <c r="F88" s="215"/>
      <c r="G88" s="237"/>
      <c r="H88" s="237"/>
      <c r="I88" s="238"/>
      <c r="J88" s="239"/>
    </row>
    <row r="89" spans="5:10" ht="12.75" customHeight="1">
      <c r="E89" s="215"/>
      <c r="F89" s="215"/>
      <c r="G89" s="237"/>
      <c r="H89" s="237"/>
      <c r="I89" s="238"/>
      <c r="J89" s="239"/>
    </row>
    <row r="90" spans="5:10" ht="12.75" customHeight="1">
      <c r="E90" s="215"/>
      <c r="F90" s="215"/>
      <c r="G90" s="237"/>
      <c r="H90" s="237"/>
      <c r="I90" s="238"/>
      <c r="J90" s="239"/>
    </row>
    <row r="91" spans="5:10" ht="12.75" customHeight="1">
      <c r="E91" s="215"/>
      <c r="F91" s="215"/>
      <c r="G91" s="237"/>
      <c r="H91" s="237"/>
      <c r="I91" s="238"/>
      <c r="J91" s="239"/>
    </row>
    <row r="92" spans="5:10" ht="12.75" customHeight="1">
      <c r="E92" s="237"/>
      <c r="F92" s="237"/>
      <c r="H92" s="237"/>
      <c r="I92" s="237"/>
      <c r="J92" s="237"/>
    </row>
    <row r="93" spans="5:10" ht="12.75" customHeight="1">
      <c r="E93" s="237"/>
      <c r="F93" s="237"/>
      <c r="G93" s="237"/>
      <c r="H93" s="237"/>
      <c r="I93" s="237"/>
      <c r="J93" s="237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49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00000"/>
  </sheetPr>
  <dimension ref="A1:P162"/>
  <sheetViews>
    <sheetView view="pageBreakPreview" topLeftCell="B76" zoomScale="75" zoomScaleNormal="100" workbookViewId="0">
      <selection activeCell="H112" sqref="H112:I112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7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8871.8674914200565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8871.8674914200565</v>
      </c>
      <c r="O6" s="233"/>
      <c r="P6" s="233"/>
    </row>
    <row r="7" spans="1:16" ht="13.5" thickBot="1">
      <c r="C7" s="432" t="s">
        <v>46</v>
      </c>
      <c r="D7" s="433" t="s">
        <v>214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86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84424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2007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IF(D10=0,0,ROUND(D10/D13,0))</f>
        <v>1963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2007</v>
      </c>
      <c r="D17" s="474">
        <v>84424</v>
      </c>
      <c r="E17" s="475">
        <v>0</v>
      </c>
      <c r="F17" s="474">
        <v>84424</v>
      </c>
      <c r="G17" s="475">
        <v>0</v>
      </c>
      <c r="H17" s="482">
        <v>0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2008</v>
      </c>
      <c r="D18" s="480">
        <v>84424</v>
      </c>
      <c r="E18" s="481">
        <v>1508</v>
      </c>
      <c r="F18" s="480">
        <v>82916</v>
      </c>
      <c r="G18" s="481">
        <v>0</v>
      </c>
      <c r="H18" s="482">
        <v>0</v>
      </c>
      <c r="I18" s="476">
        <f t="shared" si="0"/>
        <v>0</v>
      </c>
      <c r="J18" s="476"/>
      <c r="K18" s="477">
        <v>0</v>
      </c>
      <c r="L18" s="479">
        <f t="shared" si="1"/>
        <v>0</v>
      </c>
      <c r="M18" s="477">
        <v>0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2009</v>
      </c>
      <c r="D19" s="480">
        <v>82916</v>
      </c>
      <c r="E19" s="481">
        <v>1508</v>
      </c>
      <c r="F19" s="480">
        <v>81408</v>
      </c>
      <c r="G19" s="481">
        <v>0</v>
      </c>
      <c r="H19" s="482">
        <v>0</v>
      </c>
      <c r="I19" s="476">
        <f t="shared" si="0"/>
        <v>0</v>
      </c>
      <c r="J19" s="476"/>
      <c r="K19" s="477">
        <v>0</v>
      </c>
      <c r="L19" s="479">
        <f t="shared" si="1"/>
        <v>0</v>
      </c>
      <c r="M19" s="477">
        <v>0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4">IF(D20=F19,"","IU")</f>
        <v/>
      </c>
      <c r="C20" s="473">
        <f>IF(D11="","-",+C19+1)</f>
        <v>2010</v>
      </c>
      <c r="D20" s="480">
        <v>81408</v>
      </c>
      <c r="E20" s="481">
        <v>1508</v>
      </c>
      <c r="F20" s="480">
        <v>79900</v>
      </c>
      <c r="G20" s="481">
        <v>13037.291488737637</v>
      </c>
      <c r="H20" s="482">
        <v>13037.291488737637</v>
      </c>
      <c r="I20" s="476">
        <v>0</v>
      </c>
      <c r="J20" s="476"/>
      <c r="K20" s="541">
        <f t="shared" ref="K20:K25" si="5">G20</f>
        <v>13037.291488737637</v>
      </c>
      <c r="L20" s="542">
        <f t="shared" si="1"/>
        <v>0</v>
      </c>
      <c r="M20" s="541">
        <f t="shared" ref="M20:M25" si="6">H20</f>
        <v>13037.291488737637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4"/>
        <v/>
      </c>
      <c r="C21" s="473">
        <f>IF(D11="","-",+C20+1)</f>
        <v>2011</v>
      </c>
      <c r="D21" s="480">
        <v>79900</v>
      </c>
      <c r="E21" s="481">
        <v>1655</v>
      </c>
      <c r="F21" s="480">
        <v>78245</v>
      </c>
      <c r="G21" s="481">
        <v>13903.733792156472</v>
      </c>
      <c r="H21" s="482">
        <v>13903.733792156472</v>
      </c>
      <c r="I21" s="476">
        <f t="shared" si="0"/>
        <v>0</v>
      </c>
      <c r="J21" s="476"/>
      <c r="K21" s="477">
        <f t="shared" si="5"/>
        <v>13903.733792156472</v>
      </c>
      <c r="L21" s="551">
        <f t="shared" si="1"/>
        <v>0</v>
      </c>
      <c r="M21" s="477">
        <f t="shared" si="6"/>
        <v>13903.733792156472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4"/>
        <v/>
      </c>
      <c r="C22" s="473">
        <f>IF(D11="","-",+C21+1)</f>
        <v>2012</v>
      </c>
      <c r="D22" s="480">
        <v>78245</v>
      </c>
      <c r="E22" s="481">
        <v>1624</v>
      </c>
      <c r="F22" s="480">
        <v>76621</v>
      </c>
      <c r="G22" s="481">
        <v>12290.159159207155</v>
      </c>
      <c r="H22" s="482">
        <v>12290.159159207155</v>
      </c>
      <c r="I22" s="476">
        <f t="shared" si="0"/>
        <v>0</v>
      </c>
      <c r="J22" s="476"/>
      <c r="K22" s="477">
        <f t="shared" si="5"/>
        <v>12290.159159207155</v>
      </c>
      <c r="L22" s="551">
        <f t="shared" si="1"/>
        <v>0</v>
      </c>
      <c r="M22" s="477">
        <f t="shared" si="6"/>
        <v>12290.159159207155</v>
      </c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4"/>
        <v/>
      </c>
      <c r="C23" s="473">
        <f>IF(D11="","-",+C22+1)</f>
        <v>2013</v>
      </c>
      <c r="D23" s="480">
        <v>76621</v>
      </c>
      <c r="E23" s="481">
        <v>1624</v>
      </c>
      <c r="F23" s="480">
        <v>74997</v>
      </c>
      <c r="G23" s="481">
        <v>12334.078606810854</v>
      </c>
      <c r="H23" s="482">
        <v>12334.078606810854</v>
      </c>
      <c r="I23" s="476">
        <v>0</v>
      </c>
      <c r="J23" s="476"/>
      <c r="K23" s="477">
        <f t="shared" si="5"/>
        <v>12334.078606810854</v>
      </c>
      <c r="L23" s="551">
        <f t="shared" ref="L23:L28" si="7">IF(K23&lt;&gt;0,+G23-K23,0)</f>
        <v>0</v>
      </c>
      <c r="M23" s="477">
        <f t="shared" si="6"/>
        <v>12334.078606810854</v>
      </c>
      <c r="N23" s="479">
        <f t="shared" ref="N23:N28" si="8">IF(M23&lt;&gt;0,+H23-M23,0)</f>
        <v>0</v>
      </c>
      <c r="O23" s="479">
        <f t="shared" ref="O23:O28" si="9">+N23-L23</f>
        <v>0</v>
      </c>
      <c r="P23" s="243"/>
    </row>
    <row r="24" spans="2:16" ht="12.5">
      <c r="B24" s="160" t="str">
        <f t="shared" si="4"/>
        <v/>
      </c>
      <c r="C24" s="473">
        <f>IF(D11="","-",+C23+1)</f>
        <v>2014</v>
      </c>
      <c r="D24" s="480">
        <v>74997</v>
      </c>
      <c r="E24" s="481">
        <v>1624</v>
      </c>
      <c r="F24" s="480">
        <v>73373</v>
      </c>
      <c r="G24" s="481">
        <v>11724.436761777028</v>
      </c>
      <c r="H24" s="482">
        <v>11724.436761777028</v>
      </c>
      <c r="I24" s="476">
        <v>0</v>
      </c>
      <c r="J24" s="476"/>
      <c r="K24" s="477">
        <f t="shared" si="5"/>
        <v>11724.436761777028</v>
      </c>
      <c r="L24" s="551">
        <f t="shared" si="7"/>
        <v>0</v>
      </c>
      <c r="M24" s="477">
        <f t="shared" si="6"/>
        <v>11724.436761777028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4"/>
        <v/>
      </c>
      <c r="C25" s="473">
        <f>IF(D11="","-",+C24+1)</f>
        <v>2015</v>
      </c>
      <c r="D25" s="480">
        <v>73373</v>
      </c>
      <c r="E25" s="481">
        <v>1624</v>
      </c>
      <c r="F25" s="480">
        <v>71749</v>
      </c>
      <c r="G25" s="481">
        <v>11516.153501332747</v>
      </c>
      <c r="H25" s="482">
        <v>11516.153501332747</v>
      </c>
      <c r="I25" s="476">
        <v>0</v>
      </c>
      <c r="J25" s="476"/>
      <c r="K25" s="477">
        <f t="shared" si="5"/>
        <v>11516.153501332747</v>
      </c>
      <c r="L25" s="551">
        <f t="shared" si="7"/>
        <v>0</v>
      </c>
      <c r="M25" s="477">
        <f t="shared" si="6"/>
        <v>11516.153501332747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4"/>
        <v/>
      </c>
      <c r="C26" s="473">
        <f>IF(D11="","-",+C25+1)</f>
        <v>2016</v>
      </c>
      <c r="D26" s="480">
        <v>71749</v>
      </c>
      <c r="E26" s="481">
        <v>1624</v>
      </c>
      <c r="F26" s="480">
        <v>70125</v>
      </c>
      <c r="G26" s="481">
        <v>10821.569336122064</v>
      </c>
      <c r="H26" s="482">
        <v>10821.569336122064</v>
      </c>
      <c r="I26" s="476">
        <f t="shared" si="0"/>
        <v>0</v>
      </c>
      <c r="J26" s="476"/>
      <c r="K26" s="477">
        <f>G26</f>
        <v>10821.569336122064</v>
      </c>
      <c r="L26" s="551">
        <f t="shared" si="7"/>
        <v>0</v>
      </c>
      <c r="M26" s="477">
        <f>H26</f>
        <v>10821.569336122064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4"/>
        <v/>
      </c>
      <c r="C27" s="473">
        <f>IF(D11="","-",+C26+1)</f>
        <v>2017</v>
      </c>
      <c r="D27" s="480">
        <v>70125</v>
      </c>
      <c r="E27" s="481">
        <v>1835</v>
      </c>
      <c r="F27" s="480">
        <v>68290</v>
      </c>
      <c r="G27" s="481">
        <v>10525.630110064558</v>
      </c>
      <c r="H27" s="482">
        <v>10525.630110064558</v>
      </c>
      <c r="I27" s="476">
        <f t="shared" si="0"/>
        <v>0</v>
      </c>
      <c r="J27" s="476"/>
      <c r="K27" s="477">
        <f>G27</f>
        <v>10525.630110064558</v>
      </c>
      <c r="L27" s="551">
        <f t="shared" si="7"/>
        <v>0</v>
      </c>
      <c r="M27" s="477">
        <f>H27</f>
        <v>10525.630110064558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4"/>
        <v/>
      </c>
      <c r="C28" s="473">
        <f>IF(D11="","-",+C27+1)</f>
        <v>2018</v>
      </c>
      <c r="D28" s="480">
        <v>68290</v>
      </c>
      <c r="E28" s="481">
        <v>1876</v>
      </c>
      <c r="F28" s="480">
        <v>66414</v>
      </c>
      <c r="G28" s="481">
        <v>10864.165928547483</v>
      </c>
      <c r="H28" s="482">
        <v>10864.165928547483</v>
      </c>
      <c r="I28" s="476">
        <f t="shared" si="0"/>
        <v>0</v>
      </c>
      <c r="J28" s="476"/>
      <c r="K28" s="477">
        <f>G28</f>
        <v>10864.165928547483</v>
      </c>
      <c r="L28" s="551">
        <f t="shared" si="7"/>
        <v>0</v>
      </c>
      <c r="M28" s="477">
        <f>H28</f>
        <v>10864.165928547483</v>
      </c>
      <c r="N28" s="479">
        <f t="shared" si="8"/>
        <v>0</v>
      </c>
      <c r="O28" s="479">
        <f t="shared" si="9"/>
        <v>0</v>
      </c>
      <c r="P28" s="243"/>
    </row>
    <row r="29" spans="2:16" ht="12.5">
      <c r="B29" s="160" t="str">
        <f t="shared" si="4"/>
        <v/>
      </c>
      <c r="C29" s="473">
        <f>IF(D11="","-",+C28+1)</f>
        <v>2019</v>
      </c>
      <c r="D29" s="480">
        <v>66414</v>
      </c>
      <c r="E29" s="481">
        <v>1876</v>
      </c>
      <c r="F29" s="480">
        <v>64538</v>
      </c>
      <c r="G29" s="481">
        <v>10610.276699138698</v>
      </c>
      <c r="H29" s="482">
        <v>10610.276699138698</v>
      </c>
      <c r="I29" s="476">
        <f t="shared" si="0"/>
        <v>0</v>
      </c>
      <c r="J29" s="476"/>
      <c r="K29" s="477">
        <f>G29</f>
        <v>10610.276699138698</v>
      </c>
      <c r="L29" s="551">
        <f t="shared" ref="L29" si="10">IF(K29&lt;&gt;0,+G29-K29,0)</f>
        <v>0</v>
      </c>
      <c r="M29" s="477">
        <f>H29</f>
        <v>10610.276699138698</v>
      </c>
      <c r="N29" s="479">
        <f t="shared" ref="N29" si="11">IF(M29&lt;&gt;0,+H29-M29,0)</f>
        <v>0</v>
      </c>
      <c r="O29" s="479">
        <f t="shared" ref="O29" si="12">+N29-L29</f>
        <v>0</v>
      </c>
      <c r="P29" s="243"/>
    </row>
    <row r="30" spans="2:16" ht="12.5">
      <c r="B30" s="160" t="str">
        <f t="shared" si="4"/>
        <v/>
      </c>
      <c r="C30" s="473">
        <f>IF(D11="","-",+C29+1)</f>
        <v>2020</v>
      </c>
      <c r="D30" s="480">
        <v>64538</v>
      </c>
      <c r="E30" s="481">
        <v>2010</v>
      </c>
      <c r="F30" s="480">
        <v>62528</v>
      </c>
      <c r="G30" s="481">
        <v>8871.8674914200565</v>
      </c>
      <c r="H30" s="482">
        <v>8871.8674914200565</v>
      </c>
      <c r="I30" s="476">
        <f t="shared" si="0"/>
        <v>0</v>
      </c>
      <c r="J30" s="476"/>
      <c r="K30" s="477">
        <f>G30</f>
        <v>8871.8674914200565</v>
      </c>
      <c r="L30" s="551">
        <f t="shared" ref="L30" si="13">IF(K30&lt;&gt;0,+G30-K30,0)</f>
        <v>0</v>
      </c>
      <c r="M30" s="477">
        <f>H30</f>
        <v>8871.8674914200565</v>
      </c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4"/>
        <v/>
      </c>
      <c r="C31" s="473">
        <f>IF(D11="","-",+C30+1)</f>
        <v>2021</v>
      </c>
      <c r="D31" s="486">
        <f>IF(F30+SUM(E$17:E30)=D$10,F30,D$10-SUM(E$17:E30))</f>
        <v>62528</v>
      </c>
      <c r="E31" s="485">
        <f>IF(+I14&lt;F30,I14,D31)</f>
        <v>1963</v>
      </c>
      <c r="F31" s="486">
        <f t="shared" ref="F31:F48" si="14">+D31-E31</f>
        <v>60565</v>
      </c>
      <c r="G31" s="487">
        <f t="shared" ref="G31:G71" si="15">(D31+F31)/2*I$12+E31</f>
        <v>9044.3147378838003</v>
      </c>
      <c r="H31" s="456">
        <f t="shared" ref="H31:H71" si="16">+(D31+F31)/2*I$13+E31</f>
        <v>9044.3147378838003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4"/>
        <v/>
      </c>
      <c r="C32" s="473">
        <f>IF(D11="","-",+C31+1)</f>
        <v>2022</v>
      </c>
      <c r="D32" s="486">
        <f>IF(F31+SUM(E$17:E31)=D$10,F31,D$10-SUM(E$17:E31))</f>
        <v>60565</v>
      </c>
      <c r="E32" s="485">
        <f>IF(+I14&lt;F31,I14,D32)</f>
        <v>1963</v>
      </c>
      <c r="F32" s="486">
        <f t="shared" si="14"/>
        <v>58602</v>
      </c>
      <c r="G32" s="487">
        <f t="shared" si="15"/>
        <v>8818.4591517746649</v>
      </c>
      <c r="H32" s="456">
        <f t="shared" si="16"/>
        <v>8818.4591517746649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4"/>
        <v/>
      </c>
      <c r="C33" s="473">
        <f>IF(D11="","-",+C32+1)</f>
        <v>2023</v>
      </c>
      <c r="D33" s="486">
        <f>IF(F32+SUM(E$17:E32)=D$10,F32,D$10-SUM(E$17:E32))</f>
        <v>58602</v>
      </c>
      <c r="E33" s="485">
        <f>IF(+I14&lt;F32,I14,D33)</f>
        <v>1963</v>
      </c>
      <c r="F33" s="486">
        <f t="shared" si="14"/>
        <v>56639</v>
      </c>
      <c r="G33" s="487">
        <f t="shared" si="15"/>
        <v>8592.6035656655295</v>
      </c>
      <c r="H33" s="456">
        <f t="shared" si="16"/>
        <v>8592.6035656655295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4"/>
        <v/>
      </c>
      <c r="C34" s="473">
        <f>IF(D11="","-",+C33+1)</f>
        <v>2024</v>
      </c>
      <c r="D34" s="486">
        <f>IF(F33+SUM(E$17:E33)=D$10,F33,D$10-SUM(E$17:E33))</f>
        <v>56639</v>
      </c>
      <c r="E34" s="485">
        <f>IF(+I14&lt;F33,I14,D34)</f>
        <v>1963</v>
      </c>
      <c r="F34" s="486">
        <f t="shared" si="14"/>
        <v>54676</v>
      </c>
      <c r="G34" s="487">
        <f t="shared" si="15"/>
        <v>8366.7479795563941</v>
      </c>
      <c r="H34" s="456">
        <f t="shared" si="16"/>
        <v>8366.7479795563941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4"/>
        <v/>
      </c>
      <c r="C35" s="473">
        <f>IF(D11="","-",+C34+1)</f>
        <v>2025</v>
      </c>
      <c r="D35" s="486">
        <f>IF(F34+SUM(E$17:E34)=D$10,F34,D$10-SUM(E$17:E34))</f>
        <v>54676</v>
      </c>
      <c r="E35" s="485">
        <f>IF(+I14&lt;F34,I14,D35)</f>
        <v>1963</v>
      </c>
      <c r="F35" s="486">
        <f t="shared" si="14"/>
        <v>52713</v>
      </c>
      <c r="G35" s="487">
        <f t="shared" si="15"/>
        <v>8140.8923934472587</v>
      </c>
      <c r="H35" s="456">
        <f t="shared" si="16"/>
        <v>8140.8923934472587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4"/>
        <v/>
      </c>
      <c r="C36" s="473">
        <f>IF(D11="","-",+C35+1)</f>
        <v>2026</v>
      </c>
      <c r="D36" s="486">
        <f>IF(F35+SUM(E$17:E35)=D$10,F35,D$10-SUM(E$17:E35))</f>
        <v>52713</v>
      </c>
      <c r="E36" s="485">
        <f>IF(+I14&lt;F35,I14,D36)</f>
        <v>1963</v>
      </c>
      <c r="F36" s="486">
        <f t="shared" si="14"/>
        <v>50750</v>
      </c>
      <c r="G36" s="487">
        <f t="shared" si="15"/>
        <v>7915.0368073381233</v>
      </c>
      <c r="H36" s="456">
        <f t="shared" si="16"/>
        <v>7915.0368073381233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4"/>
        <v/>
      </c>
      <c r="C37" s="473">
        <f>IF(D11="","-",+C36+1)</f>
        <v>2027</v>
      </c>
      <c r="D37" s="486">
        <f>IF(F36+SUM(E$17:E36)=D$10,F36,D$10-SUM(E$17:E36))</f>
        <v>50750</v>
      </c>
      <c r="E37" s="485">
        <f>IF(+I14&lt;F36,I14,D37)</f>
        <v>1963</v>
      </c>
      <c r="F37" s="486">
        <f t="shared" si="14"/>
        <v>48787</v>
      </c>
      <c r="G37" s="487">
        <f t="shared" si="15"/>
        <v>7689.1812212289879</v>
      </c>
      <c r="H37" s="456">
        <f t="shared" si="16"/>
        <v>7689.1812212289879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4"/>
        <v/>
      </c>
      <c r="C38" s="473">
        <f>IF(D11="","-",+C37+1)</f>
        <v>2028</v>
      </c>
      <c r="D38" s="486">
        <f>IF(F37+SUM(E$17:E37)=D$10,F37,D$10-SUM(E$17:E37))</f>
        <v>48787</v>
      </c>
      <c r="E38" s="485">
        <f>IF(+I14&lt;F37,I14,D38)</f>
        <v>1963</v>
      </c>
      <c r="F38" s="486">
        <f t="shared" si="14"/>
        <v>46824</v>
      </c>
      <c r="G38" s="487">
        <f t="shared" si="15"/>
        <v>7463.3256351198524</v>
      </c>
      <c r="H38" s="456">
        <f t="shared" si="16"/>
        <v>7463.3256351198524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4"/>
        <v/>
      </c>
      <c r="C39" s="473">
        <f>IF(D11="","-",+C38+1)</f>
        <v>2029</v>
      </c>
      <c r="D39" s="486">
        <f>IF(F38+SUM(E$17:E38)=D$10,F38,D$10-SUM(E$17:E38))</f>
        <v>46824</v>
      </c>
      <c r="E39" s="485">
        <f>IF(+I14&lt;F38,I14,D39)</f>
        <v>1963</v>
      </c>
      <c r="F39" s="486">
        <f t="shared" si="14"/>
        <v>44861</v>
      </c>
      <c r="G39" s="487">
        <f t="shared" si="15"/>
        <v>7237.470049010717</v>
      </c>
      <c r="H39" s="456">
        <f t="shared" si="16"/>
        <v>7237.470049010717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4"/>
        <v/>
      </c>
      <c r="C40" s="473">
        <f>IF(D11="","-",+C39+1)</f>
        <v>2030</v>
      </c>
      <c r="D40" s="486">
        <f>IF(F39+SUM(E$17:E39)=D$10,F39,D$10-SUM(E$17:E39))</f>
        <v>44861</v>
      </c>
      <c r="E40" s="485">
        <f>IF(+I14&lt;F39,I14,D40)</f>
        <v>1963</v>
      </c>
      <c r="F40" s="486">
        <f t="shared" si="14"/>
        <v>42898</v>
      </c>
      <c r="G40" s="487">
        <f t="shared" si="15"/>
        <v>7011.6144629015816</v>
      </c>
      <c r="H40" s="456">
        <f t="shared" si="16"/>
        <v>7011.6144629015816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4"/>
        <v/>
      </c>
      <c r="C41" s="473">
        <f>IF(D11="","-",+C40+1)</f>
        <v>2031</v>
      </c>
      <c r="D41" s="486">
        <f>IF(F40+SUM(E$17:E40)=D$10,F40,D$10-SUM(E$17:E40))</f>
        <v>42898</v>
      </c>
      <c r="E41" s="485">
        <f>IF(+I14&lt;F40,I14,D41)</f>
        <v>1963</v>
      </c>
      <c r="F41" s="486">
        <f t="shared" si="14"/>
        <v>40935</v>
      </c>
      <c r="G41" s="487">
        <f t="shared" si="15"/>
        <v>6785.7588767924462</v>
      </c>
      <c r="H41" s="456">
        <f t="shared" si="16"/>
        <v>6785.7588767924462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4"/>
        <v/>
      </c>
      <c r="C42" s="473">
        <f>IF(D11="","-",+C41+1)</f>
        <v>2032</v>
      </c>
      <c r="D42" s="486">
        <f>IF(F41+SUM(E$17:E41)=D$10,F41,D$10-SUM(E$17:E41))</f>
        <v>40935</v>
      </c>
      <c r="E42" s="485">
        <f>IF(+I14&lt;F41,I14,D42)</f>
        <v>1963</v>
      </c>
      <c r="F42" s="486">
        <f t="shared" si="14"/>
        <v>38972</v>
      </c>
      <c r="G42" s="487">
        <f t="shared" si="15"/>
        <v>6559.9032906833108</v>
      </c>
      <c r="H42" s="456">
        <f t="shared" si="16"/>
        <v>6559.9032906833108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4"/>
        <v/>
      </c>
      <c r="C43" s="473">
        <f>IF(D11="","-",+C42+1)</f>
        <v>2033</v>
      </c>
      <c r="D43" s="486">
        <f>IF(F42+SUM(E$17:E42)=D$10,F42,D$10-SUM(E$17:E42))</f>
        <v>38972</v>
      </c>
      <c r="E43" s="485">
        <f>IF(+I14&lt;F42,I14,D43)</f>
        <v>1963</v>
      </c>
      <c r="F43" s="486">
        <f t="shared" si="14"/>
        <v>37009</v>
      </c>
      <c r="G43" s="487">
        <f t="shared" si="15"/>
        <v>6334.0477045741754</v>
      </c>
      <c r="H43" s="456">
        <f t="shared" si="16"/>
        <v>6334.0477045741754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4"/>
        <v/>
      </c>
      <c r="C44" s="473">
        <f>IF(D11="","-",+C43+1)</f>
        <v>2034</v>
      </c>
      <c r="D44" s="486">
        <f>IF(F43+SUM(E$17:E43)=D$10,F43,D$10-SUM(E$17:E43))</f>
        <v>37009</v>
      </c>
      <c r="E44" s="485">
        <f>IF(+I14&lt;F43,I14,D44)</f>
        <v>1963</v>
      </c>
      <c r="F44" s="486">
        <f t="shared" si="14"/>
        <v>35046</v>
      </c>
      <c r="G44" s="487">
        <f t="shared" si="15"/>
        <v>6108.19211846504</v>
      </c>
      <c r="H44" s="456">
        <f t="shared" si="16"/>
        <v>6108.19211846504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4"/>
        <v/>
      </c>
      <c r="C45" s="473">
        <f>IF(D11="","-",+C44+1)</f>
        <v>2035</v>
      </c>
      <c r="D45" s="486">
        <f>IF(F44+SUM(E$17:E44)=D$10,F44,D$10-SUM(E$17:E44))</f>
        <v>35046</v>
      </c>
      <c r="E45" s="485">
        <f>IF(+I14&lt;F44,I14,D45)</f>
        <v>1963</v>
      </c>
      <c r="F45" s="486">
        <f t="shared" si="14"/>
        <v>33083</v>
      </c>
      <c r="G45" s="487">
        <f t="shared" si="15"/>
        <v>5882.3365323559046</v>
      </c>
      <c r="H45" s="456">
        <f t="shared" si="16"/>
        <v>5882.3365323559046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4"/>
        <v/>
      </c>
      <c r="C46" s="473">
        <f>IF(D11="","-",+C45+1)</f>
        <v>2036</v>
      </c>
      <c r="D46" s="486">
        <f>IF(F45+SUM(E$17:E45)=D$10,F45,D$10-SUM(E$17:E45))</f>
        <v>33083</v>
      </c>
      <c r="E46" s="485">
        <f>IF(+I14&lt;F45,I14,D46)</f>
        <v>1963</v>
      </c>
      <c r="F46" s="486">
        <f t="shared" si="14"/>
        <v>31120</v>
      </c>
      <c r="G46" s="487">
        <f t="shared" si="15"/>
        <v>5656.4809462467692</v>
      </c>
      <c r="H46" s="456">
        <f t="shared" si="16"/>
        <v>5656.4809462467692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4"/>
        <v/>
      </c>
      <c r="C47" s="473">
        <f>IF(D11="","-",+C46+1)</f>
        <v>2037</v>
      </c>
      <c r="D47" s="486">
        <f>IF(F46+SUM(E$17:E46)=D$10,F46,D$10-SUM(E$17:E46))</f>
        <v>31120</v>
      </c>
      <c r="E47" s="485">
        <f>IF(+I14&lt;F46,I14,D47)</f>
        <v>1963</v>
      </c>
      <c r="F47" s="486">
        <f t="shared" si="14"/>
        <v>29157</v>
      </c>
      <c r="G47" s="487">
        <f t="shared" si="15"/>
        <v>5430.6253601376338</v>
      </c>
      <c r="H47" s="456">
        <f t="shared" si="16"/>
        <v>5430.6253601376338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4"/>
        <v/>
      </c>
      <c r="C48" s="473">
        <f>IF(D11="","-",+C47+1)</f>
        <v>2038</v>
      </c>
      <c r="D48" s="486">
        <f>IF(F47+SUM(E$17:E47)=D$10,F47,D$10-SUM(E$17:E47))</f>
        <v>29157</v>
      </c>
      <c r="E48" s="485">
        <f>IF(+I14&lt;F47,I14,D48)</f>
        <v>1963</v>
      </c>
      <c r="F48" s="486">
        <f t="shared" si="14"/>
        <v>27194</v>
      </c>
      <c r="G48" s="487">
        <f t="shared" si="15"/>
        <v>5204.7697740284984</v>
      </c>
      <c r="H48" s="456">
        <f t="shared" si="16"/>
        <v>5204.7697740284984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4"/>
        <v/>
      </c>
      <c r="C49" s="473">
        <f>IF(D11="","-",+C48+1)</f>
        <v>2039</v>
      </c>
      <c r="D49" s="486">
        <f>IF(F48+SUM(E$17:E48)=D$10,F48,D$10-SUM(E$17:E48))</f>
        <v>27194</v>
      </c>
      <c r="E49" s="485">
        <f>IF(+I14&lt;F48,I14,D49)</f>
        <v>1963</v>
      </c>
      <c r="F49" s="486">
        <f t="shared" ref="F49:F72" si="17">+D49-E49</f>
        <v>25231</v>
      </c>
      <c r="G49" s="487">
        <f t="shared" si="15"/>
        <v>4978.914187919363</v>
      </c>
      <c r="H49" s="456">
        <f t="shared" si="16"/>
        <v>4978.914187919363</v>
      </c>
      <c r="I49" s="476">
        <f t="shared" ref="I49:I72" si="18">H49-G49</f>
        <v>0</v>
      </c>
      <c r="J49" s="476"/>
      <c r="K49" s="488"/>
      <c r="L49" s="479">
        <f t="shared" ref="L49:L72" si="19">IF(K49&lt;&gt;0,+G49-K49,0)</f>
        <v>0</v>
      </c>
      <c r="M49" s="488"/>
      <c r="N49" s="479">
        <f t="shared" ref="N49:N72" si="20">IF(M49&lt;&gt;0,+H49-M49,0)</f>
        <v>0</v>
      </c>
      <c r="O49" s="479">
        <f t="shared" ref="O49:O72" si="21">+N49-L49</f>
        <v>0</v>
      </c>
      <c r="P49" s="243"/>
    </row>
    <row r="50" spans="2:16" ht="12.5">
      <c r="B50" s="160" t="str">
        <f t="shared" si="4"/>
        <v/>
      </c>
      <c r="C50" s="473">
        <f>IF(D11="","-",+C49+1)</f>
        <v>2040</v>
      </c>
      <c r="D50" s="486">
        <f>IF(F49+SUM(E$17:E49)=D$10,F49,D$10-SUM(E$17:E49))</f>
        <v>25231</v>
      </c>
      <c r="E50" s="485">
        <f>IF(+I14&lt;F49,I14,D50)</f>
        <v>1963</v>
      </c>
      <c r="F50" s="486">
        <f t="shared" si="17"/>
        <v>23268</v>
      </c>
      <c r="G50" s="487">
        <f t="shared" si="15"/>
        <v>4753.0586018102276</v>
      </c>
      <c r="H50" s="456">
        <f t="shared" si="16"/>
        <v>4753.0586018102276</v>
      </c>
      <c r="I50" s="476">
        <f t="shared" si="18"/>
        <v>0</v>
      </c>
      <c r="J50" s="476"/>
      <c r="K50" s="488"/>
      <c r="L50" s="479">
        <f t="shared" si="19"/>
        <v>0</v>
      </c>
      <c r="M50" s="488"/>
      <c r="N50" s="479">
        <f t="shared" si="20"/>
        <v>0</v>
      </c>
      <c r="O50" s="479">
        <f t="shared" si="21"/>
        <v>0</v>
      </c>
      <c r="P50" s="243"/>
    </row>
    <row r="51" spans="2:16" ht="12.5">
      <c r="B51" s="160" t="str">
        <f t="shared" si="4"/>
        <v/>
      </c>
      <c r="C51" s="473">
        <f>IF(D11="","-",+C50+1)</f>
        <v>2041</v>
      </c>
      <c r="D51" s="486">
        <f>IF(F50+SUM(E$17:E50)=D$10,F50,D$10-SUM(E$17:E50))</f>
        <v>23268</v>
      </c>
      <c r="E51" s="485">
        <f>IF(+I14&lt;F50,I14,D51)</f>
        <v>1963</v>
      </c>
      <c r="F51" s="486">
        <f t="shared" si="17"/>
        <v>21305</v>
      </c>
      <c r="G51" s="487">
        <f t="shared" si="15"/>
        <v>4527.2030157010922</v>
      </c>
      <c r="H51" s="456">
        <f t="shared" si="16"/>
        <v>4527.2030157010922</v>
      </c>
      <c r="I51" s="476">
        <f t="shared" si="18"/>
        <v>0</v>
      </c>
      <c r="J51" s="476"/>
      <c r="K51" s="488"/>
      <c r="L51" s="479">
        <f t="shared" si="19"/>
        <v>0</v>
      </c>
      <c r="M51" s="488"/>
      <c r="N51" s="479">
        <f t="shared" si="20"/>
        <v>0</v>
      </c>
      <c r="O51" s="479">
        <f t="shared" si="21"/>
        <v>0</v>
      </c>
      <c r="P51" s="243"/>
    </row>
    <row r="52" spans="2:16" ht="12.5">
      <c r="B52" s="160" t="str">
        <f t="shared" si="4"/>
        <v/>
      </c>
      <c r="C52" s="473">
        <f>IF(D11="","-",+C51+1)</f>
        <v>2042</v>
      </c>
      <c r="D52" s="486">
        <f>IF(F51+SUM(E$17:E51)=D$10,F51,D$10-SUM(E$17:E51))</f>
        <v>21305</v>
      </c>
      <c r="E52" s="485">
        <f>IF(+I14&lt;F51,I14,D52)</f>
        <v>1963</v>
      </c>
      <c r="F52" s="486">
        <f t="shared" si="17"/>
        <v>19342</v>
      </c>
      <c r="G52" s="487">
        <f t="shared" si="15"/>
        <v>4301.3474295919568</v>
      </c>
      <c r="H52" s="456">
        <f t="shared" si="16"/>
        <v>4301.3474295919568</v>
      </c>
      <c r="I52" s="476">
        <f t="shared" si="18"/>
        <v>0</v>
      </c>
      <c r="J52" s="476"/>
      <c r="K52" s="488"/>
      <c r="L52" s="479">
        <f t="shared" si="19"/>
        <v>0</v>
      </c>
      <c r="M52" s="488"/>
      <c r="N52" s="479">
        <f t="shared" si="20"/>
        <v>0</v>
      </c>
      <c r="O52" s="479">
        <f t="shared" si="21"/>
        <v>0</v>
      </c>
      <c r="P52" s="243"/>
    </row>
    <row r="53" spans="2:16" ht="12.5">
      <c r="B53" s="160" t="str">
        <f t="shared" si="4"/>
        <v/>
      </c>
      <c r="C53" s="473">
        <f>IF(D11="","-",+C52+1)</f>
        <v>2043</v>
      </c>
      <c r="D53" s="486">
        <f>IF(F52+SUM(E$17:E52)=D$10,F52,D$10-SUM(E$17:E52))</f>
        <v>19342</v>
      </c>
      <c r="E53" s="485">
        <f>IF(+I14&lt;F52,I14,D53)</f>
        <v>1963</v>
      </c>
      <c r="F53" s="486">
        <f t="shared" si="17"/>
        <v>17379</v>
      </c>
      <c r="G53" s="487">
        <f t="shared" si="15"/>
        <v>4075.4918434828219</v>
      </c>
      <c r="H53" s="456">
        <f t="shared" si="16"/>
        <v>4075.4918434828219</v>
      </c>
      <c r="I53" s="476">
        <f t="shared" si="18"/>
        <v>0</v>
      </c>
      <c r="J53" s="476"/>
      <c r="K53" s="488"/>
      <c r="L53" s="479">
        <f t="shared" si="19"/>
        <v>0</v>
      </c>
      <c r="M53" s="488"/>
      <c r="N53" s="479">
        <f t="shared" si="20"/>
        <v>0</v>
      </c>
      <c r="O53" s="479">
        <f t="shared" si="21"/>
        <v>0</v>
      </c>
      <c r="P53" s="243"/>
    </row>
    <row r="54" spans="2:16" ht="12.5">
      <c r="B54" s="160" t="str">
        <f t="shared" si="4"/>
        <v/>
      </c>
      <c r="C54" s="473">
        <f>IF(D11="","-",+C53+1)</f>
        <v>2044</v>
      </c>
      <c r="D54" s="486">
        <f>IF(F53+SUM(E$17:E53)=D$10,F53,D$10-SUM(E$17:E53))</f>
        <v>17379</v>
      </c>
      <c r="E54" s="485">
        <f>IF(+I14&lt;F53,I14,D54)</f>
        <v>1963</v>
      </c>
      <c r="F54" s="486">
        <f t="shared" si="17"/>
        <v>15416</v>
      </c>
      <c r="G54" s="487">
        <f t="shared" si="15"/>
        <v>3849.6362573736869</v>
      </c>
      <c r="H54" s="456">
        <f t="shared" si="16"/>
        <v>3849.6362573736869</v>
      </c>
      <c r="I54" s="476">
        <f t="shared" si="18"/>
        <v>0</v>
      </c>
      <c r="J54" s="476"/>
      <c r="K54" s="488"/>
      <c r="L54" s="479">
        <f t="shared" si="19"/>
        <v>0</v>
      </c>
      <c r="M54" s="488"/>
      <c r="N54" s="479">
        <f t="shared" si="20"/>
        <v>0</v>
      </c>
      <c r="O54" s="479">
        <f t="shared" si="21"/>
        <v>0</v>
      </c>
      <c r="P54" s="243"/>
    </row>
    <row r="55" spans="2:16" ht="12.5">
      <c r="B55" s="160" t="str">
        <f t="shared" si="4"/>
        <v/>
      </c>
      <c r="C55" s="473">
        <f>IF(D11="","-",+C54+1)</f>
        <v>2045</v>
      </c>
      <c r="D55" s="486">
        <f>IF(F54+SUM(E$17:E54)=D$10,F54,D$10-SUM(E$17:E54))</f>
        <v>15416</v>
      </c>
      <c r="E55" s="485">
        <f>IF(+I14&lt;F54,I14,D55)</f>
        <v>1963</v>
      </c>
      <c r="F55" s="486">
        <f t="shared" si="17"/>
        <v>13453</v>
      </c>
      <c r="G55" s="487">
        <f t="shared" si="15"/>
        <v>3623.7806712645515</v>
      </c>
      <c r="H55" s="456">
        <f t="shared" si="16"/>
        <v>3623.7806712645515</v>
      </c>
      <c r="I55" s="476">
        <f t="shared" si="18"/>
        <v>0</v>
      </c>
      <c r="J55" s="476"/>
      <c r="K55" s="488"/>
      <c r="L55" s="479">
        <f t="shared" si="19"/>
        <v>0</v>
      </c>
      <c r="M55" s="488"/>
      <c r="N55" s="479">
        <f t="shared" si="20"/>
        <v>0</v>
      </c>
      <c r="O55" s="479">
        <f t="shared" si="21"/>
        <v>0</v>
      </c>
      <c r="P55" s="243"/>
    </row>
    <row r="56" spans="2:16" ht="12.5">
      <c r="B56" s="160" t="str">
        <f t="shared" si="4"/>
        <v/>
      </c>
      <c r="C56" s="473">
        <f>IF(D11="","-",+C55+1)</f>
        <v>2046</v>
      </c>
      <c r="D56" s="486">
        <f>IF(F55+SUM(E$17:E55)=D$10,F55,D$10-SUM(E$17:E55))</f>
        <v>13453</v>
      </c>
      <c r="E56" s="485">
        <f>IF(+I14&lt;F55,I14,D56)</f>
        <v>1963</v>
      </c>
      <c r="F56" s="486">
        <f t="shared" si="17"/>
        <v>11490</v>
      </c>
      <c r="G56" s="487">
        <f t="shared" si="15"/>
        <v>3397.9250851554161</v>
      </c>
      <c r="H56" s="456">
        <f t="shared" si="16"/>
        <v>3397.9250851554161</v>
      </c>
      <c r="I56" s="476">
        <f t="shared" si="18"/>
        <v>0</v>
      </c>
      <c r="J56" s="476"/>
      <c r="K56" s="488"/>
      <c r="L56" s="479">
        <f t="shared" si="19"/>
        <v>0</v>
      </c>
      <c r="M56" s="488"/>
      <c r="N56" s="479">
        <f t="shared" si="20"/>
        <v>0</v>
      </c>
      <c r="O56" s="479">
        <f t="shared" si="21"/>
        <v>0</v>
      </c>
      <c r="P56" s="243"/>
    </row>
    <row r="57" spans="2:16" ht="12.5">
      <c r="B57" s="160" t="str">
        <f t="shared" si="4"/>
        <v/>
      </c>
      <c r="C57" s="473">
        <f>IF(D11="","-",+C56+1)</f>
        <v>2047</v>
      </c>
      <c r="D57" s="486">
        <f>IF(F56+SUM(E$17:E56)=D$10,F56,D$10-SUM(E$17:E56))</f>
        <v>11490</v>
      </c>
      <c r="E57" s="485">
        <f>IF(+I14&lt;F56,I14,D57)</f>
        <v>1963</v>
      </c>
      <c r="F57" s="486">
        <f t="shared" si="17"/>
        <v>9527</v>
      </c>
      <c r="G57" s="487">
        <f t="shared" si="15"/>
        <v>3172.0694990462807</v>
      </c>
      <c r="H57" s="456">
        <f t="shared" si="16"/>
        <v>3172.0694990462807</v>
      </c>
      <c r="I57" s="476">
        <f t="shared" si="18"/>
        <v>0</v>
      </c>
      <c r="J57" s="476"/>
      <c r="K57" s="488"/>
      <c r="L57" s="479">
        <f t="shared" si="19"/>
        <v>0</v>
      </c>
      <c r="M57" s="488"/>
      <c r="N57" s="479">
        <f t="shared" si="20"/>
        <v>0</v>
      </c>
      <c r="O57" s="479">
        <f t="shared" si="21"/>
        <v>0</v>
      </c>
      <c r="P57" s="243"/>
    </row>
    <row r="58" spans="2:16" ht="12.5">
      <c r="B58" s="160" t="str">
        <f t="shared" si="4"/>
        <v/>
      </c>
      <c r="C58" s="473">
        <f>IF(D11="","-",+C57+1)</f>
        <v>2048</v>
      </c>
      <c r="D58" s="486">
        <f>IF(F57+SUM(E$17:E57)=D$10,F57,D$10-SUM(E$17:E57))</f>
        <v>9527</v>
      </c>
      <c r="E58" s="485">
        <f>IF(+I14&lt;F57,I14,D58)</f>
        <v>1963</v>
      </c>
      <c r="F58" s="486">
        <f t="shared" si="17"/>
        <v>7564</v>
      </c>
      <c r="G58" s="487">
        <f t="shared" si="15"/>
        <v>2946.2139129371453</v>
      </c>
      <c r="H58" s="456">
        <f t="shared" si="16"/>
        <v>2946.2139129371453</v>
      </c>
      <c r="I58" s="476">
        <f t="shared" si="18"/>
        <v>0</v>
      </c>
      <c r="J58" s="476"/>
      <c r="K58" s="488"/>
      <c r="L58" s="479">
        <f t="shared" si="19"/>
        <v>0</v>
      </c>
      <c r="M58" s="488"/>
      <c r="N58" s="479">
        <f t="shared" si="20"/>
        <v>0</v>
      </c>
      <c r="O58" s="479">
        <f t="shared" si="21"/>
        <v>0</v>
      </c>
      <c r="P58" s="243"/>
    </row>
    <row r="59" spans="2:16" ht="12.5">
      <c r="B59" s="160" t="str">
        <f t="shared" si="4"/>
        <v/>
      </c>
      <c r="C59" s="473">
        <f>IF(D11="","-",+C58+1)</f>
        <v>2049</v>
      </c>
      <c r="D59" s="486">
        <f>IF(F58+SUM(E$17:E58)=D$10,F58,D$10-SUM(E$17:E58))</f>
        <v>7564</v>
      </c>
      <c r="E59" s="485">
        <f>IF(+I14&lt;F58,I14,D59)</f>
        <v>1963</v>
      </c>
      <c r="F59" s="486">
        <f t="shared" si="17"/>
        <v>5601</v>
      </c>
      <c r="G59" s="487">
        <f t="shared" si="15"/>
        <v>2720.3583268280099</v>
      </c>
      <c r="H59" s="456">
        <f t="shared" si="16"/>
        <v>2720.3583268280099</v>
      </c>
      <c r="I59" s="476">
        <f t="shared" si="18"/>
        <v>0</v>
      </c>
      <c r="J59" s="476"/>
      <c r="K59" s="488"/>
      <c r="L59" s="479">
        <f t="shared" si="19"/>
        <v>0</v>
      </c>
      <c r="M59" s="488"/>
      <c r="N59" s="479">
        <f t="shared" si="20"/>
        <v>0</v>
      </c>
      <c r="O59" s="479">
        <f t="shared" si="21"/>
        <v>0</v>
      </c>
      <c r="P59" s="243"/>
    </row>
    <row r="60" spans="2:16" ht="12.5">
      <c r="B60" s="160" t="str">
        <f t="shared" si="4"/>
        <v/>
      </c>
      <c r="C60" s="473">
        <f>IF(D11="","-",+C59+1)</f>
        <v>2050</v>
      </c>
      <c r="D60" s="486">
        <f>IF(F59+SUM(E$17:E59)=D$10,F59,D$10-SUM(E$17:E59))</f>
        <v>5601</v>
      </c>
      <c r="E60" s="485">
        <f>IF(+I14&lt;F59,I14,D60)</f>
        <v>1963</v>
      </c>
      <c r="F60" s="486">
        <f t="shared" si="17"/>
        <v>3638</v>
      </c>
      <c r="G60" s="487">
        <f t="shared" si="15"/>
        <v>2494.5027407188745</v>
      </c>
      <c r="H60" s="456">
        <f t="shared" si="16"/>
        <v>2494.5027407188745</v>
      </c>
      <c r="I60" s="476">
        <f t="shared" si="18"/>
        <v>0</v>
      </c>
      <c r="J60" s="476"/>
      <c r="K60" s="488"/>
      <c r="L60" s="479">
        <f t="shared" si="19"/>
        <v>0</v>
      </c>
      <c r="M60" s="488"/>
      <c r="N60" s="479">
        <f t="shared" si="20"/>
        <v>0</v>
      </c>
      <c r="O60" s="479">
        <f t="shared" si="21"/>
        <v>0</v>
      </c>
      <c r="P60" s="243"/>
    </row>
    <row r="61" spans="2:16" ht="12.5">
      <c r="B61" s="160" t="str">
        <f t="shared" si="4"/>
        <v/>
      </c>
      <c r="C61" s="473">
        <f>IF(D11="","-",+C60+1)</f>
        <v>2051</v>
      </c>
      <c r="D61" s="486">
        <f>IF(F60+SUM(E$17:E60)=D$10,F60,D$10-SUM(E$17:E60))</f>
        <v>3638</v>
      </c>
      <c r="E61" s="485">
        <f>IF(+I14&lt;F60,I14,D61)</f>
        <v>1963</v>
      </c>
      <c r="F61" s="486">
        <f t="shared" si="17"/>
        <v>1675</v>
      </c>
      <c r="G61" s="487">
        <f t="shared" si="15"/>
        <v>2268.6471546097391</v>
      </c>
      <c r="H61" s="456">
        <f t="shared" si="16"/>
        <v>2268.6471546097391</v>
      </c>
      <c r="I61" s="476">
        <f t="shared" si="18"/>
        <v>0</v>
      </c>
      <c r="J61" s="476"/>
      <c r="K61" s="488"/>
      <c r="L61" s="479">
        <f t="shared" si="19"/>
        <v>0</v>
      </c>
      <c r="M61" s="488"/>
      <c r="N61" s="479">
        <f t="shared" si="20"/>
        <v>0</v>
      </c>
      <c r="O61" s="479">
        <f t="shared" si="21"/>
        <v>0</v>
      </c>
      <c r="P61" s="243"/>
    </row>
    <row r="62" spans="2:16" ht="12.5">
      <c r="B62" s="160" t="str">
        <f t="shared" si="4"/>
        <v/>
      </c>
      <c r="C62" s="473">
        <f>IF(D11="","-",+C61+1)</f>
        <v>2052</v>
      </c>
      <c r="D62" s="486">
        <f>IF(F61+SUM(E$17:E61)=D$10,F61,D$10-SUM(E$17:E61))</f>
        <v>1675</v>
      </c>
      <c r="E62" s="485">
        <f>IF(+I14&lt;F61,I14,D62)</f>
        <v>1675</v>
      </c>
      <c r="F62" s="486">
        <f t="shared" si="17"/>
        <v>0</v>
      </c>
      <c r="G62" s="487">
        <f t="shared" si="15"/>
        <v>1771.3596807775857</v>
      </c>
      <c r="H62" s="456">
        <f t="shared" si="16"/>
        <v>1771.3596807775857</v>
      </c>
      <c r="I62" s="476">
        <f t="shared" si="18"/>
        <v>0</v>
      </c>
      <c r="J62" s="476"/>
      <c r="K62" s="488"/>
      <c r="L62" s="479">
        <f t="shared" si="19"/>
        <v>0</v>
      </c>
      <c r="M62" s="488"/>
      <c r="N62" s="479">
        <f t="shared" si="20"/>
        <v>0</v>
      </c>
      <c r="O62" s="479">
        <f t="shared" si="21"/>
        <v>0</v>
      </c>
      <c r="P62" s="243"/>
    </row>
    <row r="63" spans="2:16" ht="12.5">
      <c r="B63" s="160" t="str">
        <f t="shared" si="4"/>
        <v/>
      </c>
      <c r="C63" s="473">
        <f>IF(D11="","-",+C62+1)</f>
        <v>2053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7"/>
        <v>0</v>
      </c>
      <c r="G63" s="487">
        <f t="shared" si="15"/>
        <v>0</v>
      </c>
      <c r="H63" s="456">
        <f t="shared" si="16"/>
        <v>0</v>
      </c>
      <c r="I63" s="476">
        <f t="shared" si="18"/>
        <v>0</v>
      </c>
      <c r="J63" s="476"/>
      <c r="K63" s="488"/>
      <c r="L63" s="479">
        <f t="shared" si="19"/>
        <v>0</v>
      </c>
      <c r="M63" s="488"/>
      <c r="N63" s="479">
        <f t="shared" si="20"/>
        <v>0</v>
      </c>
      <c r="O63" s="479">
        <f t="shared" si="21"/>
        <v>0</v>
      </c>
      <c r="P63" s="243"/>
    </row>
    <row r="64" spans="2:16" ht="12.5">
      <c r="B64" s="160" t="str">
        <f t="shared" si="4"/>
        <v/>
      </c>
      <c r="C64" s="473">
        <f>IF(D11="","-",+C63+1)</f>
        <v>2054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7"/>
        <v>0</v>
      </c>
      <c r="G64" s="487">
        <f t="shared" si="15"/>
        <v>0</v>
      </c>
      <c r="H64" s="456">
        <f t="shared" si="16"/>
        <v>0</v>
      </c>
      <c r="I64" s="476">
        <f t="shared" si="18"/>
        <v>0</v>
      </c>
      <c r="J64" s="476"/>
      <c r="K64" s="488"/>
      <c r="L64" s="479">
        <f t="shared" si="19"/>
        <v>0</v>
      </c>
      <c r="M64" s="488"/>
      <c r="N64" s="479">
        <f t="shared" si="20"/>
        <v>0</v>
      </c>
      <c r="O64" s="479">
        <f t="shared" si="21"/>
        <v>0</v>
      </c>
      <c r="P64" s="243"/>
    </row>
    <row r="65" spans="2:16" ht="12.5">
      <c r="B65" s="160" t="str">
        <f t="shared" si="4"/>
        <v/>
      </c>
      <c r="C65" s="473">
        <f>IF(D11="","-",+C64+1)</f>
        <v>2055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7"/>
        <v>0</v>
      </c>
      <c r="G65" s="487">
        <f t="shared" si="15"/>
        <v>0</v>
      </c>
      <c r="H65" s="456">
        <f t="shared" si="16"/>
        <v>0</v>
      </c>
      <c r="I65" s="476">
        <f t="shared" si="18"/>
        <v>0</v>
      </c>
      <c r="J65" s="476"/>
      <c r="K65" s="488"/>
      <c r="L65" s="479">
        <f t="shared" si="19"/>
        <v>0</v>
      </c>
      <c r="M65" s="488"/>
      <c r="N65" s="479">
        <f t="shared" si="20"/>
        <v>0</v>
      </c>
      <c r="O65" s="479">
        <f t="shared" si="21"/>
        <v>0</v>
      </c>
      <c r="P65" s="243"/>
    </row>
    <row r="66" spans="2:16" ht="12.5">
      <c r="B66" s="160" t="str">
        <f t="shared" si="4"/>
        <v/>
      </c>
      <c r="C66" s="473">
        <f>IF(D11="","-",+C65+1)</f>
        <v>2056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7"/>
        <v>0</v>
      </c>
      <c r="G66" s="487">
        <f t="shared" si="15"/>
        <v>0</v>
      </c>
      <c r="H66" s="456">
        <f t="shared" si="16"/>
        <v>0</v>
      </c>
      <c r="I66" s="476">
        <f t="shared" si="18"/>
        <v>0</v>
      </c>
      <c r="J66" s="476"/>
      <c r="K66" s="488"/>
      <c r="L66" s="479">
        <f t="shared" si="19"/>
        <v>0</v>
      </c>
      <c r="M66" s="488"/>
      <c r="N66" s="479">
        <f t="shared" si="20"/>
        <v>0</v>
      </c>
      <c r="O66" s="479">
        <f t="shared" si="21"/>
        <v>0</v>
      </c>
      <c r="P66" s="243"/>
    </row>
    <row r="67" spans="2:16" ht="12.5">
      <c r="B67" s="160" t="str">
        <f t="shared" si="4"/>
        <v/>
      </c>
      <c r="C67" s="473">
        <f>IF(D11="","-",+C66+1)</f>
        <v>2057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7"/>
        <v>0</v>
      </c>
      <c r="G67" s="487">
        <f t="shared" si="15"/>
        <v>0</v>
      </c>
      <c r="H67" s="456">
        <f t="shared" si="16"/>
        <v>0</v>
      </c>
      <c r="I67" s="476">
        <f t="shared" si="18"/>
        <v>0</v>
      </c>
      <c r="J67" s="476"/>
      <c r="K67" s="488"/>
      <c r="L67" s="479">
        <f t="shared" si="19"/>
        <v>0</v>
      </c>
      <c r="M67" s="488"/>
      <c r="N67" s="479">
        <f t="shared" si="20"/>
        <v>0</v>
      </c>
      <c r="O67" s="479">
        <f t="shared" si="21"/>
        <v>0</v>
      </c>
      <c r="P67" s="243"/>
    </row>
    <row r="68" spans="2:16" ht="12.5">
      <c r="B68" s="160" t="str">
        <f t="shared" si="4"/>
        <v/>
      </c>
      <c r="C68" s="473">
        <f>IF(D11="","-",+C67+1)</f>
        <v>2058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7"/>
        <v>0</v>
      </c>
      <c r="G68" s="487">
        <f t="shared" si="15"/>
        <v>0</v>
      </c>
      <c r="H68" s="456">
        <f t="shared" si="16"/>
        <v>0</v>
      </c>
      <c r="I68" s="476">
        <f t="shared" si="18"/>
        <v>0</v>
      </c>
      <c r="J68" s="476"/>
      <c r="K68" s="488"/>
      <c r="L68" s="479">
        <f t="shared" si="19"/>
        <v>0</v>
      </c>
      <c r="M68" s="488"/>
      <c r="N68" s="479">
        <f t="shared" si="20"/>
        <v>0</v>
      </c>
      <c r="O68" s="479">
        <f t="shared" si="21"/>
        <v>0</v>
      </c>
      <c r="P68" s="243"/>
    </row>
    <row r="69" spans="2:16" ht="12.5">
      <c r="B69" s="160" t="str">
        <f t="shared" si="4"/>
        <v/>
      </c>
      <c r="C69" s="473">
        <f>IF(D11="","-",+C68+1)</f>
        <v>2059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7"/>
        <v>0</v>
      </c>
      <c r="G69" s="487">
        <f t="shared" si="15"/>
        <v>0</v>
      </c>
      <c r="H69" s="456">
        <f t="shared" si="16"/>
        <v>0</v>
      </c>
      <c r="I69" s="476">
        <f t="shared" si="18"/>
        <v>0</v>
      </c>
      <c r="J69" s="476"/>
      <c r="K69" s="488"/>
      <c r="L69" s="479">
        <f t="shared" si="19"/>
        <v>0</v>
      </c>
      <c r="M69" s="488"/>
      <c r="N69" s="479">
        <f t="shared" si="20"/>
        <v>0</v>
      </c>
      <c r="O69" s="479">
        <f t="shared" si="21"/>
        <v>0</v>
      </c>
      <c r="P69" s="243"/>
    </row>
    <row r="70" spans="2:16" ht="12.5">
      <c r="B70" s="160" t="str">
        <f t="shared" si="4"/>
        <v/>
      </c>
      <c r="C70" s="473">
        <f>IF(D11="","-",+C69+1)</f>
        <v>2060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7"/>
        <v>0</v>
      </c>
      <c r="G70" s="487">
        <f t="shared" si="15"/>
        <v>0</v>
      </c>
      <c r="H70" s="456">
        <f t="shared" si="16"/>
        <v>0</v>
      </c>
      <c r="I70" s="476">
        <f t="shared" si="18"/>
        <v>0</v>
      </c>
      <c r="J70" s="476"/>
      <c r="K70" s="488"/>
      <c r="L70" s="479">
        <f t="shared" si="19"/>
        <v>0</v>
      </c>
      <c r="M70" s="488"/>
      <c r="N70" s="479">
        <f t="shared" si="20"/>
        <v>0</v>
      </c>
      <c r="O70" s="479">
        <f t="shared" si="21"/>
        <v>0</v>
      </c>
      <c r="P70" s="243"/>
    </row>
    <row r="71" spans="2:16" ht="12.5">
      <c r="B71" s="160" t="str">
        <f t="shared" si="4"/>
        <v/>
      </c>
      <c r="C71" s="473">
        <f>IF(D11="","-",+C70+1)</f>
        <v>2061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7"/>
        <v>0</v>
      </c>
      <c r="G71" s="487">
        <f t="shared" si="15"/>
        <v>0</v>
      </c>
      <c r="H71" s="456">
        <f t="shared" si="16"/>
        <v>0</v>
      </c>
      <c r="I71" s="476">
        <f t="shared" si="18"/>
        <v>0</v>
      </c>
      <c r="J71" s="476"/>
      <c r="K71" s="488"/>
      <c r="L71" s="479">
        <f t="shared" si="19"/>
        <v>0</v>
      </c>
      <c r="M71" s="488"/>
      <c r="N71" s="479">
        <f t="shared" si="20"/>
        <v>0</v>
      </c>
      <c r="O71" s="479">
        <f t="shared" si="21"/>
        <v>0</v>
      </c>
      <c r="P71" s="243"/>
    </row>
    <row r="72" spans="2:16" ht="13" thickBot="1">
      <c r="B72" s="160" t="str">
        <f t="shared" si="4"/>
        <v/>
      </c>
      <c r="C72" s="490">
        <f>IF(D11="","-",+C71+1)</f>
        <v>2062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7"/>
        <v>0</v>
      </c>
      <c r="G72" s="491">
        <f t="shared" ref="G72" si="22">(D72+F72)/2*I$12+E72</f>
        <v>0</v>
      </c>
      <c r="H72" s="491">
        <f t="shared" ref="H72" si="23">+(D72+F72)/2*I$13+E72</f>
        <v>0</v>
      </c>
      <c r="I72" s="494">
        <f t="shared" si="18"/>
        <v>0</v>
      </c>
      <c r="J72" s="476"/>
      <c r="K72" s="495"/>
      <c r="L72" s="496">
        <f t="shared" si="19"/>
        <v>0</v>
      </c>
      <c r="M72" s="495"/>
      <c r="N72" s="496">
        <f t="shared" si="20"/>
        <v>0</v>
      </c>
      <c r="O72" s="496">
        <f t="shared" si="21"/>
        <v>0</v>
      </c>
      <c r="P72" s="243"/>
    </row>
    <row r="73" spans="2:16" ht="12.5">
      <c r="C73" s="347" t="s">
        <v>77</v>
      </c>
      <c r="D73" s="348"/>
      <c r="E73" s="348">
        <f>SUM(E17:E72)</f>
        <v>84424</v>
      </c>
      <c r="F73" s="348"/>
      <c r="G73" s="348">
        <f>SUM(G17:G72)</f>
        <v>303621.63188974222</v>
      </c>
      <c r="H73" s="348">
        <f>SUM(H17:H72)</f>
        <v>303621.63188974222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7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8871.8674914200565</v>
      </c>
      <c r="N87" s="509">
        <f>IF(J92&lt;D11,0,VLOOKUP(J92,C17:O72,11))</f>
        <v>8871.8674914200565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9212.2569908153564</v>
      </c>
      <c r="N88" s="513">
        <f>IF(J92&lt;D11,0,VLOOKUP(J92,C99:P154,7))</f>
        <v>9212.2569908153564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Elk City - Elk City 69 kV line (CT Upgrades)*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340.38949939529994</v>
      </c>
      <c r="N89" s="518">
        <f>+N88-N87</f>
        <v>340.38949939529994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TP2007015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84424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2007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12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1963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2007</v>
      </c>
      <c r="D99" s="474">
        <v>0</v>
      </c>
      <c r="E99" s="481">
        <v>0</v>
      </c>
      <c r="F99" s="480">
        <v>84424</v>
      </c>
      <c r="G99" s="538">
        <v>42212</v>
      </c>
      <c r="H99" s="539">
        <v>0</v>
      </c>
      <c r="I99" s="540">
        <v>0</v>
      </c>
      <c r="J99" s="479">
        <f t="shared" ref="J99:J130" si="24">+I99-H99</f>
        <v>0</v>
      </c>
      <c r="K99" s="479"/>
      <c r="L99" s="555">
        <v>0</v>
      </c>
      <c r="M99" s="478">
        <f t="shared" ref="M99:M130" si="25">IF(L99&lt;&gt;0,+H99-L99,0)</f>
        <v>0</v>
      </c>
      <c r="N99" s="555">
        <v>0</v>
      </c>
      <c r="O99" s="478">
        <f t="shared" ref="O99:O130" si="26">IF(N99&lt;&gt;0,+I99-N99,0)</f>
        <v>0</v>
      </c>
      <c r="P99" s="478">
        <f t="shared" ref="P99:P130" si="27">+O99-M99</f>
        <v>0</v>
      </c>
    </row>
    <row r="100" spans="1:16" ht="12.5">
      <c r="B100" s="160" t="str">
        <f>IF(D100=F99,"","IU")</f>
        <v/>
      </c>
      <c r="C100" s="473">
        <f>IF(D93="","-",+C99+1)</f>
        <v>2008</v>
      </c>
      <c r="D100" s="474">
        <v>84424</v>
      </c>
      <c r="E100" s="481">
        <v>1593</v>
      </c>
      <c r="F100" s="480">
        <v>82831</v>
      </c>
      <c r="G100" s="480">
        <v>83628</v>
      </c>
      <c r="H100" s="481">
        <v>14877</v>
      </c>
      <c r="I100" s="482">
        <v>14877</v>
      </c>
      <c r="J100" s="479">
        <f t="shared" si="24"/>
        <v>0</v>
      </c>
      <c r="K100" s="479"/>
      <c r="L100" s="477">
        <v>14877</v>
      </c>
      <c r="M100" s="479">
        <f t="shared" si="25"/>
        <v>0</v>
      </c>
      <c r="N100" s="477">
        <v>14877</v>
      </c>
      <c r="O100" s="479">
        <f t="shared" si="26"/>
        <v>0</v>
      </c>
      <c r="P100" s="479">
        <f t="shared" si="27"/>
        <v>0</v>
      </c>
    </row>
    <row r="101" spans="1:16" ht="12.5">
      <c r="B101" s="160" t="str">
        <f t="shared" ref="B101:B154" si="28">IF(D101=F100,"","IU")</f>
        <v/>
      </c>
      <c r="C101" s="473">
        <f>IF(D93="","-",+C100+1)</f>
        <v>2009</v>
      </c>
      <c r="D101" s="474">
        <v>82831</v>
      </c>
      <c r="E101" s="481">
        <v>1508</v>
      </c>
      <c r="F101" s="480">
        <v>81323</v>
      </c>
      <c r="G101" s="480">
        <v>82077</v>
      </c>
      <c r="H101" s="481">
        <v>13508.337143636172</v>
      </c>
      <c r="I101" s="482">
        <v>13508.337143636172</v>
      </c>
      <c r="J101" s="479">
        <f t="shared" si="24"/>
        <v>0</v>
      </c>
      <c r="K101" s="479"/>
      <c r="L101" s="541">
        <f t="shared" ref="L101:L106" si="29">H101</f>
        <v>13508.337143636172</v>
      </c>
      <c r="M101" s="542">
        <f t="shared" si="25"/>
        <v>0</v>
      </c>
      <c r="N101" s="541">
        <f t="shared" ref="N101:N106" si="30">I101</f>
        <v>13508.337143636172</v>
      </c>
      <c r="O101" s="479">
        <f t="shared" si="26"/>
        <v>0</v>
      </c>
      <c r="P101" s="479">
        <f t="shared" si="27"/>
        <v>0</v>
      </c>
    </row>
    <row r="102" spans="1:16" ht="12.5">
      <c r="B102" s="160" t="str">
        <f t="shared" si="28"/>
        <v/>
      </c>
      <c r="C102" s="473">
        <f>IF(D93="","-",+C101+1)</f>
        <v>2010</v>
      </c>
      <c r="D102" s="474">
        <v>81323</v>
      </c>
      <c r="E102" s="481">
        <v>1655</v>
      </c>
      <c r="F102" s="480">
        <v>79668</v>
      </c>
      <c r="G102" s="480">
        <v>80495.5</v>
      </c>
      <c r="H102" s="481">
        <v>14599.901682354179</v>
      </c>
      <c r="I102" s="482">
        <v>14599.901682354179</v>
      </c>
      <c r="J102" s="479">
        <f t="shared" si="24"/>
        <v>0</v>
      </c>
      <c r="K102" s="479"/>
      <c r="L102" s="541">
        <f t="shared" si="29"/>
        <v>14599.901682354179</v>
      </c>
      <c r="M102" s="542">
        <f t="shared" si="25"/>
        <v>0</v>
      </c>
      <c r="N102" s="541">
        <f t="shared" si="30"/>
        <v>14599.901682354179</v>
      </c>
      <c r="O102" s="479">
        <f t="shared" si="26"/>
        <v>0</v>
      </c>
      <c r="P102" s="479">
        <f t="shared" si="27"/>
        <v>0</v>
      </c>
    </row>
    <row r="103" spans="1:16" ht="12.5">
      <c r="B103" s="160" t="str">
        <f t="shared" si="28"/>
        <v/>
      </c>
      <c r="C103" s="473">
        <f>IF(D93="","-",+C102+1)</f>
        <v>2011</v>
      </c>
      <c r="D103" s="474">
        <v>79668</v>
      </c>
      <c r="E103" s="481">
        <v>1624</v>
      </c>
      <c r="F103" s="480">
        <v>78044</v>
      </c>
      <c r="G103" s="480">
        <v>78856</v>
      </c>
      <c r="H103" s="481">
        <v>12649.128461660426</v>
      </c>
      <c r="I103" s="482">
        <v>12649.128461660426</v>
      </c>
      <c r="J103" s="479">
        <f t="shared" si="24"/>
        <v>0</v>
      </c>
      <c r="K103" s="479"/>
      <c r="L103" s="541">
        <f t="shared" si="29"/>
        <v>12649.128461660426</v>
      </c>
      <c r="M103" s="542">
        <f t="shared" si="25"/>
        <v>0</v>
      </c>
      <c r="N103" s="541">
        <f t="shared" si="30"/>
        <v>12649.128461660426</v>
      </c>
      <c r="O103" s="479">
        <f t="shared" si="26"/>
        <v>0</v>
      </c>
      <c r="P103" s="479">
        <f t="shared" si="27"/>
        <v>0</v>
      </c>
    </row>
    <row r="104" spans="1:16" ht="12.5">
      <c r="B104" s="160" t="str">
        <f t="shared" si="28"/>
        <v/>
      </c>
      <c r="C104" s="473">
        <f>IF(D93="","-",+C103+1)</f>
        <v>2012</v>
      </c>
      <c r="D104" s="474">
        <v>78044</v>
      </c>
      <c r="E104" s="481">
        <v>1624</v>
      </c>
      <c r="F104" s="480">
        <v>76420</v>
      </c>
      <c r="G104" s="480">
        <v>77232</v>
      </c>
      <c r="H104" s="481">
        <v>12734.246570183563</v>
      </c>
      <c r="I104" s="482">
        <v>12734.246570183563</v>
      </c>
      <c r="J104" s="479">
        <v>0</v>
      </c>
      <c r="K104" s="479"/>
      <c r="L104" s="541">
        <f t="shared" si="29"/>
        <v>12734.246570183563</v>
      </c>
      <c r="M104" s="542">
        <f t="shared" ref="M104:M109" si="31">IF(L104&lt;&gt;0,+H104-L104,0)</f>
        <v>0</v>
      </c>
      <c r="N104" s="541">
        <f t="shared" si="30"/>
        <v>12734.246570183563</v>
      </c>
      <c r="O104" s="479">
        <f t="shared" ref="O104:O109" si="32">IF(N104&lt;&gt;0,+I104-N104,0)</f>
        <v>0</v>
      </c>
      <c r="P104" s="479">
        <f t="shared" ref="P104:P109" si="33">+O104-M104</f>
        <v>0</v>
      </c>
    </row>
    <row r="105" spans="1:16" ht="12.5">
      <c r="B105" s="160" t="str">
        <f t="shared" si="28"/>
        <v/>
      </c>
      <c r="C105" s="473">
        <f>IF(D93="","-",+C104+1)</f>
        <v>2013</v>
      </c>
      <c r="D105" s="474">
        <v>76420</v>
      </c>
      <c r="E105" s="481">
        <v>1624</v>
      </c>
      <c r="F105" s="480">
        <v>74796</v>
      </c>
      <c r="G105" s="480">
        <v>75608</v>
      </c>
      <c r="H105" s="481">
        <v>12506.984818583547</v>
      </c>
      <c r="I105" s="482">
        <v>12506.984818583547</v>
      </c>
      <c r="J105" s="479">
        <v>0</v>
      </c>
      <c r="K105" s="479"/>
      <c r="L105" s="541">
        <f t="shared" si="29"/>
        <v>12506.984818583547</v>
      </c>
      <c r="M105" s="542">
        <f t="shared" si="31"/>
        <v>0</v>
      </c>
      <c r="N105" s="541">
        <f t="shared" si="30"/>
        <v>12506.984818583547</v>
      </c>
      <c r="O105" s="479">
        <f t="shared" si="32"/>
        <v>0</v>
      </c>
      <c r="P105" s="479">
        <f t="shared" si="33"/>
        <v>0</v>
      </c>
    </row>
    <row r="106" spans="1:16" ht="12.5">
      <c r="B106" s="160" t="str">
        <f t="shared" si="28"/>
        <v/>
      </c>
      <c r="C106" s="473">
        <f>IF(D93="","-",+C105+1)</f>
        <v>2014</v>
      </c>
      <c r="D106" s="474">
        <v>74796</v>
      </c>
      <c r="E106" s="481">
        <v>1624</v>
      </c>
      <c r="F106" s="480">
        <v>73172</v>
      </c>
      <c r="G106" s="480">
        <v>73984</v>
      </c>
      <c r="H106" s="481">
        <v>12025.847971361507</v>
      </c>
      <c r="I106" s="482">
        <v>12025.847971361507</v>
      </c>
      <c r="J106" s="479">
        <v>0</v>
      </c>
      <c r="K106" s="479"/>
      <c r="L106" s="541">
        <f t="shared" si="29"/>
        <v>12025.847971361507</v>
      </c>
      <c r="M106" s="542">
        <f t="shared" si="31"/>
        <v>0</v>
      </c>
      <c r="N106" s="541">
        <f t="shared" si="30"/>
        <v>12025.847971361507</v>
      </c>
      <c r="O106" s="479">
        <f t="shared" si="32"/>
        <v>0</v>
      </c>
      <c r="P106" s="479">
        <f t="shared" si="33"/>
        <v>0</v>
      </c>
    </row>
    <row r="107" spans="1:16" ht="12.5">
      <c r="B107" s="160" t="str">
        <f t="shared" si="28"/>
        <v/>
      </c>
      <c r="C107" s="473">
        <f>IF(D93="","-",+C106+1)</f>
        <v>2015</v>
      </c>
      <c r="D107" s="474">
        <v>73172</v>
      </c>
      <c r="E107" s="481">
        <v>1624</v>
      </c>
      <c r="F107" s="480">
        <v>71548</v>
      </c>
      <c r="G107" s="480">
        <v>72360</v>
      </c>
      <c r="H107" s="481">
        <v>11496.940196929139</v>
      </c>
      <c r="I107" s="482">
        <v>11496.940196929139</v>
      </c>
      <c r="J107" s="479">
        <f t="shared" si="24"/>
        <v>0</v>
      </c>
      <c r="K107" s="479"/>
      <c r="L107" s="541">
        <f>H107</f>
        <v>11496.940196929139</v>
      </c>
      <c r="M107" s="542">
        <f t="shared" si="31"/>
        <v>0</v>
      </c>
      <c r="N107" s="541">
        <f>I107</f>
        <v>11496.940196929139</v>
      </c>
      <c r="O107" s="479">
        <f t="shared" si="32"/>
        <v>0</v>
      </c>
      <c r="P107" s="479">
        <f t="shared" si="33"/>
        <v>0</v>
      </c>
    </row>
    <row r="108" spans="1:16" ht="12.5">
      <c r="B108" s="160" t="str">
        <f t="shared" si="28"/>
        <v/>
      </c>
      <c r="C108" s="473">
        <f>IF(D93="","-",+C107+1)</f>
        <v>2016</v>
      </c>
      <c r="D108" s="474">
        <v>71548</v>
      </c>
      <c r="E108" s="481">
        <v>1835</v>
      </c>
      <c r="F108" s="480">
        <v>69713</v>
      </c>
      <c r="G108" s="480">
        <v>70630.5</v>
      </c>
      <c r="H108" s="481">
        <v>10940.383800869789</v>
      </c>
      <c r="I108" s="482">
        <v>10940.383800869789</v>
      </c>
      <c r="J108" s="479">
        <f t="shared" si="24"/>
        <v>0</v>
      </c>
      <c r="K108" s="479"/>
      <c r="L108" s="541">
        <f>H108</f>
        <v>10940.383800869789</v>
      </c>
      <c r="M108" s="542">
        <f t="shared" si="31"/>
        <v>0</v>
      </c>
      <c r="N108" s="541">
        <f>I108</f>
        <v>10940.383800869789</v>
      </c>
      <c r="O108" s="479">
        <f t="shared" si="32"/>
        <v>0</v>
      </c>
      <c r="P108" s="479">
        <f t="shared" si="33"/>
        <v>0</v>
      </c>
    </row>
    <row r="109" spans="1:16" ht="12.5">
      <c r="B109" s="160" t="str">
        <f t="shared" si="28"/>
        <v/>
      </c>
      <c r="C109" s="473">
        <f>IF(D93="","-",+C108+1)</f>
        <v>2017</v>
      </c>
      <c r="D109" s="474">
        <v>69713</v>
      </c>
      <c r="E109" s="481">
        <v>1835</v>
      </c>
      <c r="F109" s="480">
        <v>67878</v>
      </c>
      <c r="G109" s="480">
        <v>68795.5</v>
      </c>
      <c r="H109" s="481">
        <v>10561.882642914878</v>
      </c>
      <c r="I109" s="482">
        <v>10561.882642914878</v>
      </c>
      <c r="J109" s="479">
        <f t="shared" si="24"/>
        <v>0</v>
      </c>
      <c r="K109" s="479"/>
      <c r="L109" s="541">
        <f>H109</f>
        <v>10561.882642914878</v>
      </c>
      <c r="M109" s="542">
        <f t="shared" si="31"/>
        <v>0</v>
      </c>
      <c r="N109" s="541">
        <f>I109</f>
        <v>10561.882642914878</v>
      </c>
      <c r="O109" s="479">
        <f t="shared" si="32"/>
        <v>0</v>
      </c>
      <c r="P109" s="479">
        <f t="shared" si="33"/>
        <v>0</v>
      </c>
    </row>
    <row r="110" spans="1:16" ht="12.5">
      <c r="B110" s="160" t="str">
        <f t="shared" si="28"/>
        <v/>
      </c>
      <c r="C110" s="473">
        <f>IF(D93="","-",+C109+1)</f>
        <v>2018</v>
      </c>
      <c r="D110" s="474">
        <v>67878</v>
      </c>
      <c r="E110" s="481">
        <v>1963</v>
      </c>
      <c r="F110" s="480">
        <v>65915</v>
      </c>
      <c r="G110" s="480">
        <v>66896.5</v>
      </c>
      <c r="H110" s="481">
        <v>8835.6498462369182</v>
      </c>
      <c r="I110" s="482">
        <v>8835.6498462369182</v>
      </c>
      <c r="J110" s="479">
        <f t="shared" si="24"/>
        <v>0</v>
      </c>
      <c r="K110" s="479"/>
      <c r="L110" s="541">
        <f>H110</f>
        <v>8835.6498462369182</v>
      </c>
      <c r="M110" s="542">
        <f t="shared" ref="M110" si="34">IF(L110&lt;&gt;0,+H110-L110,0)</f>
        <v>0</v>
      </c>
      <c r="N110" s="541">
        <f>I110</f>
        <v>8835.6498462369182</v>
      </c>
      <c r="O110" s="479">
        <f t="shared" ref="O110" si="35">IF(N110&lt;&gt;0,+I110-N110,0)</f>
        <v>0</v>
      </c>
      <c r="P110" s="479">
        <f t="shared" ref="P110" si="36">+O110-M110</f>
        <v>0</v>
      </c>
    </row>
    <row r="111" spans="1:16" ht="12.5">
      <c r="B111" s="160" t="str">
        <f t="shared" si="28"/>
        <v/>
      </c>
      <c r="C111" s="473">
        <f>IF(D93="","-",+C110+1)</f>
        <v>2019</v>
      </c>
      <c r="D111" s="474">
        <v>65915</v>
      </c>
      <c r="E111" s="481">
        <v>2059</v>
      </c>
      <c r="F111" s="480">
        <v>63856</v>
      </c>
      <c r="G111" s="480">
        <v>64885.5</v>
      </c>
      <c r="H111" s="481">
        <v>8749.6051392547379</v>
      </c>
      <c r="I111" s="482">
        <v>8749.6051392547379</v>
      </c>
      <c r="J111" s="479">
        <f t="shared" si="24"/>
        <v>0</v>
      </c>
      <c r="K111" s="479"/>
      <c r="L111" s="541">
        <f>H111</f>
        <v>8749.6051392547379</v>
      </c>
      <c r="M111" s="542">
        <f t="shared" ref="M111" si="37">IF(L111&lt;&gt;0,+H111-L111,0)</f>
        <v>0</v>
      </c>
      <c r="N111" s="541">
        <f>I111</f>
        <v>8749.6051392547379</v>
      </c>
      <c r="O111" s="479">
        <f t="shared" si="26"/>
        <v>0</v>
      </c>
      <c r="P111" s="479">
        <f t="shared" si="27"/>
        <v>0</v>
      </c>
    </row>
    <row r="112" spans="1:16" ht="12.5">
      <c r="B112" s="160" t="str">
        <f t="shared" si="28"/>
        <v/>
      </c>
      <c r="C112" s="473">
        <f>IF(D93="","-",+C111+1)</f>
        <v>2020</v>
      </c>
      <c r="D112" s="347">
        <f>IF(F111+SUM(E$99:E111)=D$92,F111,D$92-SUM(E$99:E111))</f>
        <v>63856</v>
      </c>
      <c r="E112" s="487">
        <f>IF(+J96&lt;F111,J96,D112)</f>
        <v>1963</v>
      </c>
      <c r="F112" s="486">
        <f t="shared" ref="F112:F129" si="38">+D112-E112</f>
        <v>61893</v>
      </c>
      <c r="G112" s="486">
        <f t="shared" ref="G112:G129" si="39">+(F112+D112)/2</f>
        <v>62874.5</v>
      </c>
      <c r="H112" s="487">
        <f>(D112+F112)/2*J$94+E112</f>
        <v>9212.2569908153564</v>
      </c>
      <c r="I112" s="543">
        <f t="shared" ref="I112" si="40">+J$95*G112+E112</f>
        <v>9212.2569908153564</v>
      </c>
      <c r="J112" s="479">
        <f t="shared" si="24"/>
        <v>0</v>
      </c>
      <c r="K112" s="479"/>
      <c r="L112" s="488"/>
      <c r="M112" s="479">
        <f t="shared" si="25"/>
        <v>0</v>
      </c>
      <c r="N112" s="488"/>
      <c r="O112" s="479">
        <f t="shared" si="26"/>
        <v>0</v>
      </c>
      <c r="P112" s="479">
        <f t="shared" si="27"/>
        <v>0</v>
      </c>
    </row>
    <row r="113" spans="2:16" ht="12.5">
      <c r="B113" s="160" t="str">
        <f t="shared" si="28"/>
        <v/>
      </c>
      <c r="C113" s="473">
        <f>IF(D93="","-",+C112+1)</f>
        <v>2021</v>
      </c>
      <c r="D113" s="347">
        <f>IF(F112+SUM(E$99:E112)=D$92,F112,D$92-SUM(E$99:E112))</f>
        <v>61893</v>
      </c>
      <c r="E113" s="487">
        <f>IF(+J96&lt;F112,J96,D113)</f>
        <v>1963</v>
      </c>
      <c r="F113" s="486">
        <f t="shared" si="38"/>
        <v>59930</v>
      </c>
      <c r="G113" s="486">
        <f t="shared" si="39"/>
        <v>60911.5</v>
      </c>
      <c r="H113" s="487">
        <f t="shared" ref="H113:H153" si="41">(D113+F113)/2*J$94+E113</f>
        <v>8985.928487638861</v>
      </c>
      <c r="I113" s="543">
        <f t="shared" ref="I113:I153" si="42">+J$95*G113+E113</f>
        <v>8985.928487638861</v>
      </c>
      <c r="J113" s="479">
        <f t="shared" si="24"/>
        <v>0</v>
      </c>
      <c r="K113" s="479"/>
      <c r="L113" s="488"/>
      <c r="M113" s="479">
        <f t="shared" si="25"/>
        <v>0</v>
      </c>
      <c r="N113" s="488"/>
      <c r="O113" s="479">
        <f t="shared" si="26"/>
        <v>0</v>
      </c>
      <c r="P113" s="479">
        <f t="shared" si="27"/>
        <v>0</v>
      </c>
    </row>
    <row r="114" spans="2:16" ht="12.5">
      <c r="B114" s="160" t="str">
        <f t="shared" si="28"/>
        <v/>
      </c>
      <c r="C114" s="473">
        <f>IF(D93="","-",+C113+1)</f>
        <v>2022</v>
      </c>
      <c r="D114" s="347">
        <f>IF(F113+SUM(E$99:E113)=D$92,F113,D$92-SUM(E$99:E113))</f>
        <v>59930</v>
      </c>
      <c r="E114" s="487">
        <f>IF(+J96&lt;F113,J96,D114)</f>
        <v>1963</v>
      </c>
      <c r="F114" s="486">
        <f t="shared" si="38"/>
        <v>57967</v>
      </c>
      <c r="G114" s="486">
        <f t="shared" si="39"/>
        <v>58948.5</v>
      </c>
      <c r="H114" s="487">
        <f t="shared" si="41"/>
        <v>8759.5999844623657</v>
      </c>
      <c r="I114" s="543">
        <f t="shared" si="42"/>
        <v>8759.5999844623657</v>
      </c>
      <c r="J114" s="479">
        <f t="shared" si="24"/>
        <v>0</v>
      </c>
      <c r="K114" s="479"/>
      <c r="L114" s="488"/>
      <c r="M114" s="479">
        <f t="shared" si="25"/>
        <v>0</v>
      </c>
      <c r="N114" s="488"/>
      <c r="O114" s="479">
        <f t="shared" si="26"/>
        <v>0</v>
      </c>
      <c r="P114" s="479">
        <f t="shared" si="27"/>
        <v>0</v>
      </c>
    </row>
    <row r="115" spans="2:16" ht="12.5">
      <c r="B115" s="160" t="str">
        <f t="shared" si="28"/>
        <v/>
      </c>
      <c r="C115" s="473">
        <f>IF(D93="","-",+C114+1)</f>
        <v>2023</v>
      </c>
      <c r="D115" s="347">
        <f>IF(F114+SUM(E$99:E114)=D$92,F114,D$92-SUM(E$99:E114))</f>
        <v>57967</v>
      </c>
      <c r="E115" s="487">
        <f>IF(+J96&lt;F114,J96,D115)</f>
        <v>1963</v>
      </c>
      <c r="F115" s="486">
        <f t="shared" si="38"/>
        <v>56004</v>
      </c>
      <c r="G115" s="486">
        <f t="shared" si="39"/>
        <v>56985.5</v>
      </c>
      <c r="H115" s="487">
        <f t="shared" si="41"/>
        <v>8533.2714812858703</v>
      </c>
      <c r="I115" s="543">
        <f t="shared" si="42"/>
        <v>8533.2714812858703</v>
      </c>
      <c r="J115" s="479">
        <f t="shared" si="24"/>
        <v>0</v>
      </c>
      <c r="K115" s="479"/>
      <c r="L115" s="488"/>
      <c r="M115" s="479">
        <f t="shared" si="25"/>
        <v>0</v>
      </c>
      <c r="N115" s="488"/>
      <c r="O115" s="479">
        <f t="shared" si="26"/>
        <v>0</v>
      </c>
      <c r="P115" s="479">
        <f t="shared" si="27"/>
        <v>0</v>
      </c>
    </row>
    <row r="116" spans="2:16" ht="12.5">
      <c r="B116" s="160" t="str">
        <f t="shared" si="28"/>
        <v/>
      </c>
      <c r="C116" s="473">
        <f>IF(D93="","-",+C115+1)</f>
        <v>2024</v>
      </c>
      <c r="D116" s="347">
        <f>IF(F115+SUM(E$99:E115)=D$92,F115,D$92-SUM(E$99:E115))</f>
        <v>56004</v>
      </c>
      <c r="E116" s="487">
        <f>IF(+J96&lt;F115,J96,D116)</f>
        <v>1963</v>
      </c>
      <c r="F116" s="486">
        <f t="shared" si="38"/>
        <v>54041</v>
      </c>
      <c r="G116" s="486">
        <f t="shared" si="39"/>
        <v>55022.5</v>
      </c>
      <c r="H116" s="487">
        <f t="shared" si="41"/>
        <v>8306.942978109375</v>
      </c>
      <c r="I116" s="543">
        <f t="shared" si="42"/>
        <v>8306.942978109375</v>
      </c>
      <c r="J116" s="479">
        <f t="shared" si="24"/>
        <v>0</v>
      </c>
      <c r="K116" s="479"/>
      <c r="L116" s="488"/>
      <c r="M116" s="479">
        <f t="shared" si="25"/>
        <v>0</v>
      </c>
      <c r="N116" s="488"/>
      <c r="O116" s="479">
        <f t="shared" si="26"/>
        <v>0</v>
      </c>
      <c r="P116" s="479">
        <f t="shared" si="27"/>
        <v>0</v>
      </c>
    </row>
    <row r="117" spans="2:16" ht="12.5">
      <c r="B117" s="160" t="str">
        <f t="shared" si="28"/>
        <v/>
      </c>
      <c r="C117" s="473">
        <f>IF(D93="","-",+C116+1)</f>
        <v>2025</v>
      </c>
      <c r="D117" s="347">
        <f>IF(F116+SUM(E$99:E116)=D$92,F116,D$92-SUM(E$99:E116))</f>
        <v>54041</v>
      </c>
      <c r="E117" s="487">
        <f>IF(+J96&lt;F116,J96,D117)</f>
        <v>1963</v>
      </c>
      <c r="F117" s="486">
        <f t="shared" si="38"/>
        <v>52078</v>
      </c>
      <c r="G117" s="486">
        <f t="shared" si="39"/>
        <v>53059.5</v>
      </c>
      <c r="H117" s="487">
        <f t="shared" si="41"/>
        <v>8080.6144749328805</v>
      </c>
      <c r="I117" s="543">
        <f t="shared" si="42"/>
        <v>8080.6144749328805</v>
      </c>
      <c r="J117" s="479">
        <f t="shared" si="24"/>
        <v>0</v>
      </c>
      <c r="K117" s="479"/>
      <c r="L117" s="488"/>
      <c r="M117" s="479">
        <f t="shared" si="25"/>
        <v>0</v>
      </c>
      <c r="N117" s="488"/>
      <c r="O117" s="479">
        <f t="shared" si="26"/>
        <v>0</v>
      </c>
      <c r="P117" s="479">
        <f t="shared" si="27"/>
        <v>0</v>
      </c>
    </row>
    <row r="118" spans="2:16" ht="12.5">
      <c r="B118" s="160" t="str">
        <f t="shared" si="28"/>
        <v/>
      </c>
      <c r="C118" s="473">
        <f>IF(D93="","-",+C117+1)</f>
        <v>2026</v>
      </c>
      <c r="D118" s="347">
        <f>IF(F117+SUM(E$99:E117)=D$92,F117,D$92-SUM(E$99:E117))</f>
        <v>52078</v>
      </c>
      <c r="E118" s="487">
        <f>IF(+J96&lt;F117,J96,D118)</f>
        <v>1963</v>
      </c>
      <c r="F118" s="486">
        <f t="shared" si="38"/>
        <v>50115</v>
      </c>
      <c r="G118" s="486">
        <f t="shared" si="39"/>
        <v>51096.5</v>
      </c>
      <c r="H118" s="487">
        <f t="shared" si="41"/>
        <v>7854.2859717563852</v>
      </c>
      <c r="I118" s="543">
        <f t="shared" si="42"/>
        <v>7854.2859717563852</v>
      </c>
      <c r="J118" s="479">
        <f t="shared" si="24"/>
        <v>0</v>
      </c>
      <c r="K118" s="479"/>
      <c r="L118" s="488"/>
      <c r="M118" s="479">
        <f t="shared" si="25"/>
        <v>0</v>
      </c>
      <c r="N118" s="488"/>
      <c r="O118" s="479">
        <f t="shared" si="26"/>
        <v>0</v>
      </c>
      <c r="P118" s="479">
        <f t="shared" si="27"/>
        <v>0</v>
      </c>
    </row>
    <row r="119" spans="2:16" ht="12.5">
      <c r="B119" s="160" t="str">
        <f t="shared" si="28"/>
        <v/>
      </c>
      <c r="C119" s="473">
        <f>IF(D93="","-",+C118+1)</f>
        <v>2027</v>
      </c>
      <c r="D119" s="347">
        <f>IF(F118+SUM(E$99:E118)=D$92,F118,D$92-SUM(E$99:E118))</f>
        <v>50115</v>
      </c>
      <c r="E119" s="487">
        <f>IF(+J96&lt;F118,J96,D119)</f>
        <v>1963</v>
      </c>
      <c r="F119" s="486">
        <f t="shared" si="38"/>
        <v>48152</v>
      </c>
      <c r="G119" s="486">
        <f t="shared" si="39"/>
        <v>49133.5</v>
      </c>
      <c r="H119" s="487">
        <f t="shared" si="41"/>
        <v>7627.9574685798898</v>
      </c>
      <c r="I119" s="543">
        <f t="shared" si="42"/>
        <v>7627.9574685798898</v>
      </c>
      <c r="J119" s="479">
        <f t="shared" si="24"/>
        <v>0</v>
      </c>
      <c r="K119" s="479"/>
      <c r="L119" s="488"/>
      <c r="M119" s="479">
        <f t="shared" si="25"/>
        <v>0</v>
      </c>
      <c r="N119" s="488"/>
      <c r="O119" s="479">
        <f t="shared" si="26"/>
        <v>0</v>
      </c>
      <c r="P119" s="479">
        <f t="shared" si="27"/>
        <v>0</v>
      </c>
    </row>
    <row r="120" spans="2:16" ht="12.5">
      <c r="B120" s="160" t="str">
        <f t="shared" si="28"/>
        <v/>
      </c>
      <c r="C120" s="473">
        <f>IF(D93="","-",+C119+1)</f>
        <v>2028</v>
      </c>
      <c r="D120" s="347">
        <f>IF(F119+SUM(E$99:E119)=D$92,F119,D$92-SUM(E$99:E119))</f>
        <v>48152</v>
      </c>
      <c r="E120" s="487">
        <f>IF(+J96&lt;F119,J96,D120)</f>
        <v>1963</v>
      </c>
      <c r="F120" s="486">
        <f t="shared" si="38"/>
        <v>46189</v>
      </c>
      <c r="G120" s="486">
        <f t="shared" si="39"/>
        <v>47170.5</v>
      </c>
      <c r="H120" s="487">
        <f t="shared" si="41"/>
        <v>7401.6289654033953</v>
      </c>
      <c r="I120" s="543">
        <f t="shared" si="42"/>
        <v>7401.6289654033953</v>
      </c>
      <c r="J120" s="479">
        <f t="shared" si="24"/>
        <v>0</v>
      </c>
      <c r="K120" s="479"/>
      <c r="L120" s="488"/>
      <c r="M120" s="479">
        <f t="shared" si="25"/>
        <v>0</v>
      </c>
      <c r="N120" s="488"/>
      <c r="O120" s="479">
        <f t="shared" si="26"/>
        <v>0</v>
      </c>
      <c r="P120" s="479">
        <f t="shared" si="27"/>
        <v>0</v>
      </c>
    </row>
    <row r="121" spans="2:16" ht="12.5">
      <c r="B121" s="160" t="str">
        <f t="shared" si="28"/>
        <v/>
      </c>
      <c r="C121" s="473">
        <f>IF(D93="","-",+C120+1)</f>
        <v>2029</v>
      </c>
      <c r="D121" s="347">
        <f>IF(F120+SUM(E$99:E120)=D$92,F120,D$92-SUM(E$99:E120))</f>
        <v>46189</v>
      </c>
      <c r="E121" s="487">
        <f>IF(+J96&lt;F120,J96,D121)</f>
        <v>1963</v>
      </c>
      <c r="F121" s="486">
        <f t="shared" si="38"/>
        <v>44226</v>
      </c>
      <c r="G121" s="486">
        <f t="shared" si="39"/>
        <v>45207.5</v>
      </c>
      <c r="H121" s="487">
        <f t="shared" si="41"/>
        <v>7175.3004622269</v>
      </c>
      <c r="I121" s="543">
        <f t="shared" si="42"/>
        <v>7175.3004622269</v>
      </c>
      <c r="J121" s="479">
        <f t="shared" si="24"/>
        <v>0</v>
      </c>
      <c r="K121" s="479"/>
      <c r="L121" s="488"/>
      <c r="M121" s="479">
        <f t="shared" si="25"/>
        <v>0</v>
      </c>
      <c r="N121" s="488"/>
      <c r="O121" s="479">
        <f t="shared" si="26"/>
        <v>0</v>
      </c>
      <c r="P121" s="479">
        <f t="shared" si="27"/>
        <v>0</v>
      </c>
    </row>
    <row r="122" spans="2:16" ht="12.5">
      <c r="B122" s="160" t="str">
        <f t="shared" si="28"/>
        <v/>
      </c>
      <c r="C122" s="473">
        <f>IF(D93="","-",+C121+1)</f>
        <v>2030</v>
      </c>
      <c r="D122" s="347">
        <f>IF(F121+SUM(E$99:E121)=D$92,F121,D$92-SUM(E$99:E121))</f>
        <v>44226</v>
      </c>
      <c r="E122" s="487">
        <f>IF(+J96&lt;F121,J96,D122)</f>
        <v>1963</v>
      </c>
      <c r="F122" s="486">
        <f t="shared" si="38"/>
        <v>42263</v>
      </c>
      <c r="G122" s="486">
        <f t="shared" si="39"/>
        <v>43244.5</v>
      </c>
      <c r="H122" s="487">
        <f t="shared" si="41"/>
        <v>6948.9719590504046</v>
      </c>
      <c r="I122" s="543">
        <f t="shared" si="42"/>
        <v>6948.9719590504046</v>
      </c>
      <c r="J122" s="479">
        <f t="shared" si="24"/>
        <v>0</v>
      </c>
      <c r="K122" s="479"/>
      <c r="L122" s="488"/>
      <c r="M122" s="479">
        <f t="shared" si="25"/>
        <v>0</v>
      </c>
      <c r="N122" s="488"/>
      <c r="O122" s="479">
        <f t="shared" si="26"/>
        <v>0</v>
      </c>
      <c r="P122" s="479">
        <f t="shared" si="27"/>
        <v>0</v>
      </c>
    </row>
    <row r="123" spans="2:16" ht="12.5">
      <c r="B123" s="160" t="str">
        <f t="shared" si="28"/>
        <v/>
      </c>
      <c r="C123" s="473">
        <f>IF(D93="","-",+C122+1)</f>
        <v>2031</v>
      </c>
      <c r="D123" s="347">
        <f>IF(F122+SUM(E$99:E122)=D$92,F122,D$92-SUM(E$99:E122))</f>
        <v>42263</v>
      </c>
      <c r="E123" s="487">
        <f>IF(+J96&lt;F122,J96,D123)</f>
        <v>1963</v>
      </c>
      <c r="F123" s="486">
        <f t="shared" si="38"/>
        <v>40300</v>
      </c>
      <c r="G123" s="486">
        <f t="shared" si="39"/>
        <v>41281.5</v>
      </c>
      <c r="H123" s="487">
        <f t="shared" si="41"/>
        <v>6722.6434558739093</v>
      </c>
      <c r="I123" s="543">
        <f t="shared" si="42"/>
        <v>6722.6434558739093</v>
      </c>
      <c r="J123" s="479">
        <f t="shared" si="24"/>
        <v>0</v>
      </c>
      <c r="K123" s="479"/>
      <c r="L123" s="488"/>
      <c r="M123" s="479">
        <f t="shared" si="25"/>
        <v>0</v>
      </c>
      <c r="N123" s="488"/>
      <c r="O123" s="479">
        <f t="shared" si="26"/>
        <v>0</v>
      </c>
      <c r="P123" s="479">
        <f t="shared" si="27"/>
        <v>0</v>
      </c>
    </row>
    <row r="124" spans="2:16" ht="12.5">
      <c r="B124" s="160" t="str">
        <f t="shared" si="28"/>
        <v/>
      </c>
      <c r="C124" s="473">
        <f>IF(D93="","-",+C123+1)</f>
        <v>2032</v>
      </c>
      <c r="D124" s="347">
        <f>IF(F123+SUM(E$99:E123)=D$92,F123,D$92-SUM(E$99:E123))</f>
        <v>40300</v>
      </c>
      <c r="E124" s="487">
        <f>IF(+J96&lt;F123,J96,D124)</f>
        <v>1963</v>
      </c>
      <c r="F124" s="486">
        <f t="shared" si="38"/>
        <v>38337</v>
      </c>
      <c r="G124" s="486">
        <f t="shared" si="39"/>
        <v>39318.5</v>
      </c>
      <c r="H124" s="487">
        <f t="shared" si="41"/>
        <v>6496.3149526974148</v>
      </c>
      <c r="I124" s="543">
        <f t="shared" si="42"/>
        <v>6496.3149526974148</v>
      </c>
      <c r="J124" s="479">
        <f t="shared" si="24"/>
        <v>0</v>
      </c>
      <c r="K124" s="479"/>
      <c r="L124" s="488"/>
      <c r="M124" s="479">
        <f t="shared" si="25"/>
        <v>0</v>
      </c>
      <c r="N124" s="488"/>
      <c r="O124" s="479">
        <f t="shared" si="26"/>
        <v>0</v>
      </c>
      <c r="P124" s="479">
        <f t="shared" si="27"/>
        <v>0</v>
      </c>
    </row>
    <row r="125" spans="2:16" ht="12.5">
      <c r="B125" s="160" t="str">
        <f t="shared" si="28"/>
        <v/>
      </c>
      <c r="C125" s="473">
        <f>IF(D93="","-",+C124+1)</f>
        <v>2033</v>
      </c>
      <c r="D125" s="347">
        <f>IF(F124+SUM(E$99:E124)=D$92,F124,D$92-SUM(E$99:E124))</f>
        <v>38337</v>
      </c>
      <c r="E125" s="487">
        <f>IF(+J96&lt;F124,J96,D125)</f>
        <v>1963</v>
      </c>
      <c r="F125" s="486">
        <f t="shared" si="38"/>
        <v>36374</v>
      </c>
      <c r="G125" s="486">
        <f t="shared" si="39"/>
        <v>37355.5</v>
      </c>
      <c r="H125" s="487">
        <f t="shared" si="41"/>
        <v>6269.9864495209195</v>
      </c>
      <c r="I125" s="543">
        <f t="shared" si="42"/>
        <v>6269.9864495209195</v>
      </c>
      <c r="J125" s="479">
        <f t="shared" si="24"/>
        <v>0</v>
      </c>
      <c r="K125" s="479"/>
      <c r="L125" s="488"/>
      <c r="M125" s="479">
        <f t="shared" si="25"/>
        <v>0</v>
      </c>
      <c r="N125" s="488"/>
      <c r="O125" s="479">
        <f t="shared" si="26"/>
        <v>0</v>
      </c>
      <c r="P125" s="479">
        <f t="shared" si="27"/>
        <v>0</v>
      </c>
    </row>
    <row r="126" spans="2:16" ht="12.5">
      <c r="B126" s="160" t="str">
        <f t="shared" si="28"/>
        <v/>
      </c>
      <c r="C126" s="473">
        <f>IF(D93="","-",+C125+1)</f>
        <v>2034</v>
      </c>
      <c r="D126" s="347">
        <f>IF(F125+SUM(E$99:E125)=D$92,F125,D$92-SUM(E$99:E125))</f>
        <v>36374</v>
      </c>
      <c r="E126" s="487">
        <f>IF(+J96&lt;F125,J96,D126)</f>
        <v>1963</v>
      </c>
      <c r="F126" s="486">
        <f t="shared" si="38"/>
        <v>34411</v>
      </c>
      <c r="G126" s="486">
        <f t="shared" si="39"/>
        <v>35392.5</v>
      </c>
      <c r="H126" s="487">
        <f t="shared" si="41"/>
        <v>6043.6579463444241</v>
      </c>
      <c r="I126" s="543">
        <f t="shared" si="42"/>
        <v>6043.6579463444241</v>
      </c>
      <c r="J126" s="479">
        <f t="shared" si="24"/>
        <v>0</v>
      </c>
      <c r="K126" s="479"/>
      <c r="L126" s="488"/>
      <c r="M126" s="479">
        <f t="shared" si="25"/>
        <v>0</v>
      </c>
      <c r="N126" s="488"/>
      <c r="O126" s="479">
        <f t="shared" si="26"/>
        <v>0</v>
      </c>
      <c r="P126" s="479">
        <f t="shared" si="27"/>
        <v>0</v>
      </c>
    </row>
    <row r="127" spans="2:16" ht="12.5">
      <c r="B127" s="160" t="str">
        <f t="shared" si="28"/>
        <v/>
      </c>
      <c r="C127" s="473">
        <f>IF(D93="","-",+C126+1)</f>
        <v>2035</v>
      </c>
      <c r="D127" s="347">
        <f>IF(F126+SUM(E$99:E126)=D$92,F126,D$92-SUM(E$99:E126))</f>
        <v>34411</v>
      </c>
      <c r="E127" s="487">
        <f>IF(+J96&lt;F126,J96,D127)</f>
        <v>1963</v>
      </c>
      <c r="F127" s="486">
        <f t="shared" si="38"/>
        <v>32448</v>
      </c>
      <c r="G127" s="486">
        <f t="shared" si="39"/>
        <v>33429.5</v>
      </c>
      <c r="H127" s="487">
        <f t="shared" si="41"/>
        <v>5817.3294431679287</v>
      </c>
      <c r="I127" s="543">
        <f t="shared" si="42"/>
        <v>5817.3294431679287</v>
      </c>
      <c r="J127" s="479">
        <f t="shared" si="24"/>
        <v>0</v>
      </c>
      <c r="K127" s="479"/>
      <c r="L127" s="488"/>
      <c r="M127" s="479">
        <f t="shared" si="25"/>
        <v>0</v>
      </c>
      <c r="N127" s="488"/>
      <c r="O127" s="479">
        <f t="shared" si="26"/>
        <v>0</v>
      </c>
      <c r="P127" s="479">
        <f t="shared" si="27"/>
        <v>0</v>
      </c>
    </row>
    <row r="128" spans="2:16" ht="12.5">
      <c r="B128" s="160" t="str">
        <f t="shared" si="28"/>
        <v/>
      </c>
      <c r="C128" s="473">
        <f>IF(D93="","-",+C127+1)</f>
        <v>2036</v>
      </c>
      <c r="D128" s="347">
        <f>IF(F127+SUM(E$99:E127)=D$92,F127,D$92-SUM(E$99:E127))</f>
        <v>32448</v>
      </c>
      <c r="E128" s="487">
        <f>IF(+J96&lt;F127,J96,D128)</f>
        <v>1963</v>
      </c>
      <c r="F128" s="486">
        <f t="shared" si="38"/>
        <v>30485</v>
      </c>
      <c r="G128" s="486">
        <f t="shared" si="39"/>
        <v>31466.5</v>
      </c>
      <c r="H128" s="487">
        <f t="shared" si="41"/>
        <v>5591.0009399914343</v>
      </c>
      <c r="I128" s="543">
        <f t="shared" si="42"/>
        <v>5591.0009399914343</v>
      </c>
      <c r="J128" s="479">
        <f t="shared" si="24"/>
        <v>0</v>
      </c>
      <c r="K128" s="479"/>
      <c r="L128" s="488"/>
      <c r="M128" s="479">
        <f t="shared" si="25"/>
        <v>0</v>
      </c>
      <c r="N128" s="488"/>
      <c r="O128" s="479">
        <f t="shared" si="26"/>
        <v>0</v>
      </c>
      <c r="P128" s="479">
        <f t="shared" si="27"/>
        <v>0</v>
      </c>
    </row>
    <row r="129" spans="2:16" ht="12.5">
      <c r="B129" s="160" t="str">
        <f t="shared" si="28"/>
        <v/>
      </c>
      <c r="C129" s="473">
        <f>IF(D93="","-",+C128+1)</f>
        <v>2037</v>
      </c>
      <c r="D129" s="347">
        <f>IF(F128+SUM(E$99:E128)=D$92,F128,D$92-SUM(E$99:E128))</f>
        <v>30485</v>
      </c>
      <c r="E129" s="487">
        <f>IF(+J96&lt;F128,J96,D129)</f>
        <v>1963</v>
      </c>
      <c r="F129" s="486">
        <f t="shared" si="38"/>
        <v>28522</v>
      </c>
      <c r="G129" s="486">
        <f t="shared" si="39"/>
        <v>29503.5</v>
      </c>
      <c r="H129" s="487">
        <f t="shared" si="41"/>
        <v>5364.6724368149389</v>
      </c>
      <c r="I129" s="543">
        <f t="shared" si="42"/>
        <v>5364.6724368149389</v>
      </c>
      <c r="J129" s="479">
        <f t="shared" si="24"/>
        <v>0</v>
      </c>
      <c r="K129" s="479"/>
      <c r="L129" s="488"/>
      <c r="M129" s="479">
        <f t="shared" si="25"/>
        <v>0</v>
      </c>
      <c r="N129" s="488"/>
      <c r="O129" s="479">
        <f t="shared" si="26"/>
        <v>0</v>
      </c>
      <c r="P129" s="479">
        <f t="shared" si="27"/>
        <v>0</v>
      </c>
    </row>
    <row r="130" spans="2:16" ht="12.5">
      <c r="B130" s="160" t="str">
        <f t="shared" si="28"/>
        <v/>
      </c>
      <c r="C130" s="473">
        <f>IF(D93="","-",+C129+1)</f>
        <v>2038</v>
      </c>
      <c r="D130" s="347">
        <f>IF(F129+SUM(E$99:E129)=D$92,F129,D$92-SUM(E$99:E129))</f>
        <v>28522</v>
      </c>
      <c r="E130" s="487">
        <f>IF(+J96&lt;F129,J96,D130)</f>
        <v>1963</v>
      </c>
      <c r="F130" s="486">
        <f t="shared" ref="F130:F153" si="43">+D130-E130</f>
        <v>26559</v>
      </c>
      <c r="G130" s="486">
        <f t="shared" ref="G130:G153" si="44">+(F130+D130)/2</f>
        <v>27540.5</v>
      </c>
      <c r="H130" s="487">
        <f t="shared" si="41"/>
        <v>5138.3439336384436</v>
      </c>
      <c r="I130" s="543">
        <f t="shared" si="42"/>
        <v>5138.3439336384436</v>
      </c>
      <c r="J130" s="479">
        <f t="shared" si="24"/>
        <v>0</v>
      </c>
      <c r="K130" s="479"/>
      <c r="L130" s="488"/>
      <c r="M130" s="479">
        <f t="shared" si="25"/>
        <v>0</v>
      </c>
      <c r="N130" s="488"/>
      <c r="O130" s="479">
        <f t="shared" si="26"/>
        <v>0</v>
      </c>
      <c r="P130" s="479">
        <f t="shared" si="27"/>
        <v>0</v>
      </c>
    </row>
    <row r="131" spans="2:16" ht="12.5">
      <c r="B131" s="160" t="str">
        <f t="shared" si="28"/>
        <v/>
      </c>
      <c r="C131" s="473">
        <f>IF(D93="","-",+C130+1)</f>
        <v>2039</v>
      </c>
      <c r="D131" s="347">
        <f>IF(F130+SUM(E$99:E130)=D$92,F130,D$92-SUM(E$99:E130))</f>
        <v>26559</v>
      </c>
      <c r="E131" s="487">
        <f>IF(+J96&lt;F130,J96,D131)</f>
        <v>1963</v>
      </c>
      <c r="F131" s="486">
        <f t="shared" si="43"/>
        <v>24596</v>
      </c>
      <c r="G131" s="486">
        <f t="shared" si="44"/>
        <v>25577.5</v>
      </c>
      <c r="H131" s="487">
        <f t="shared" si="41"/>
        <v>4912.0154304619482</v>
      </c>
      <c r="I131" s="543">
        <f t="shared" si="42"/>
        <v>4912.0154304619482</v>
      </c>
      <c r="J131" s="479">
        <f t="shared" ref="J131:J154" si="45">+I382-H382</f>
        <v>0</v>
      </c>
      <c r="K131" s="479"/>
      <c r="L131" s="488"/>
      <c r="M131" s="479">
        <f t="shared" ref="M131:M154" si="46">IF(L382&lt;&gt;0,+H382-L382,0)</f>
        <v>0</v>
      </c>
      <c r="N131" s="488"/>
      <c r="O131" s="479">
        <f t="shared" ref="O131:O154" si="47">IF(N382&lt;&gt;0,+I382-N382,0)</f>
        <v>0</v>
      </c>
      <c r="P131" s="479">
        <f t="shared" ref="P131:P154" si="48">+O382-M382</f>
        <v>0</v>
      </c>
    </row>
    <row r="132" spans="2:16" ht="12.5">
      <c r="B132" s="160" t="str">
        <f t="shared" si="28"/>
        <v/>
      </c>
      <c r="C132" s="473">
        <f>IF(D93="","-",+C131+1)</f>
        <v>2040</v>
      </c>
      <c r="D132" s="347">
        <f>IF(F131+SUM(E$99:E131)=D$92,F131,D$92-SUM(E$99:E131))</f>
        <v>24596</v>
      </c>
      <c r="E132" s="487">
        <f>IF(+J96&lt;F131,J96,D132)</f>
        <v>1963</v>
      </c>
      <c r="F132" s="486">
        <f t="shared" si="43"/>
        <v>22633</v>
      </c>
      <c r="G132" s="486">
        <f t="shared" si="44"/>
        <v>23614.5</v>
      </c>
      <c r="H132" s="487">
        <f t="shared" si="41"/>
        <v>4685.6869272854528</v>
      </c>
      <c r="I132" s="543">
        <f t="shared" si="42"/>
        <v>4685.6869272854528</v>
      </c>
      <c r="J132" s="479">
        <f t="shared" si="45"/>
        <v>0</v>
      </c>
      <c r="K132" s="479"/>
      <c r="L132" s="488"/>
      <c r="M132" s="479">
        <f t="shared" si="46"/>
        <v>0</v>
      </c>
      <c r="N132" s="488"/>
      <c r="O132" s="479">
        <f t="shared" si="47"/>
        <v>0</v>
      </c>
      <c r="P132" s="479">
        <f t="shared" si="48"/>
        <v>0</v>
      </c>
    </row>
    <row r="133" spans="2:16" ht="12.5">
      <c r="B133" s="160" t="str">
        <f t="shared" si="28"/>
        <v/>
      </c>
      <c r="C133" s="473">
        <f>IF(D93="","-",+C132+1)</f>
        <v>2041</v>
      </c>
      <c r="D133" s="347">
        <f>IF(F132+SUM(E$99:E132)=D$92,F132,D$92-SUM(E$99:E132))</f>
        <v>22633</v>
      </c>
      <c r="E133" s="487">
        <f>IF(+J96&lt;F132,J96,D133)</f>
        <v>1963</v>
      </c>
      <c r="F133" s="486">
        <f t="shared" si="43"/>
        <v>20670</v>
      </c>
      <c r="G133" s="486">
        <f t="shared" si="44"/>
        <v>21651.5</v>
      </c>
      <c r="H133" s="487">
        <f t="shared" si="41"/>
        <v>4459.3584241089575</v>
      </c>
      <c r="I133" s="543">
        <f t="shared" si="42"/>
        <v>4459.3584241089575</v>
      </c>
      <c r="J133" s="479">
        <f t="shared" si="45"/>
        <v>0</v>
      </c>
      <c r="K133" s="479"/>
      <c r="L133" s="488"/>
      <c r="M133" s="479">
        <f t="shared" si="46"/>
        <v>0</v>
      </c>
      <c r="N133" s="488"/>
      <c r="O133" s="479">
        <f t="shared" si="47"/>
        <v>0</v>
      </c>
      <c r="P133" s="479">
        <f t="shared" si="48"/>
        <v>0</v>
      </c>
    </row>
    <row r="134" spans="2:16" ht="12.5">
      <c r="B134" s="160" t="str">
        <f t="shared" si="28"/>
        <v/>
      </c>
      <c r="C134" s="473">
        <f>IF(D93="","-",+C133+1)</f>
        <v>2042</v>
      </c>
      <c r="D134" s="347">
        <f>IF(F133+SUM(E$99:E133)=D$92,F133,D$92-SUM(E$99:E133))</f>
        <v>20670</v>
      </c>
      <c r="E134" s="487">
        <f>IF(+J96&lt;F133,J96,D134)</f>
        <v>1963</v>
      </c>
      <c r="F134" s="486">
        <f t="shared" si="43"/>
        <v>18707</v>
      </c>
      <c r="G134" s="486">
        <f t="shared" si="44"/>
        <v>19688.5</v>
      </c>
      <c r="H134" s="487">
        <f t="shared" si="41"/>
        <v>4233.029920932463</v>
      </c>
      <c r="I134" s="543">
        <f t="shared" si="42"/>
        <v>4233.029920932463</v>
      </c>
      <c r="J134" s="479">
        <f t="shared" si="45"/>
        <v>0</v>
      </c>
      <c r="K134" s="479"/>
      <c r="L134" s="488"/>
      <c r="M134" s="479">
        <f t="shared" si="46"/>
        <v>0</v>
      </c>
      <c r="N134" s="488"/>
      <c r="O134" s="479">
        <f t="shared" si="47"/>
        <v>0</v>
      </c>
      <c r="P134" s="479">
        <f t="shared" si="48"/>
        <v>0</v>
      </c>
    </row>
    <row r="135" spans="2:16" ht="12.5">
      <c r="B135" s="160" t="str">
        <f t="shared" si="28"/>
        <v/>
      </c>
      <c r="C135" s="473">
        <f>IF(D93="","-",+C134+1)</f>
        <v>2043</v>
      </c>
      <c r="D135" s="347">
        <f>IF(F134+SUM(E$99:E134)=D$92,F134,D$92-SUM(E$99:E134))</f>
        <v>18707</v>
      </c>
      <c r="E135" s="487">
        <f>IF(+J96&lt;F134,J96,D135)</f>
        <v>1963</v>
      </c>
      <c r="F135" s="486">
        <f t="shared" si="43"/>
        <v>16744</v>
      </c>
      <c r="G135" s="486">
        <f t="shared" si="44"/>
        <v>17725.5</v>
      </c>
      <c r="H135" s="487">
        <f t="shared" si="41"/>
        <v>4006.7014177559677</v>
      </c>
      <c r="I135" s="543">
        <f t="shared" si="42"/>
        <v>4006.7014177559677</v>
      </c>
      <c r="J135" s="479">
        <f t="shared" si="45"/>
        <v>0</v>
      </c>
      <c r="K135" s="479"/>
      <c r="L135" s="488"/>
      <c r="M135" s="479">
        <f t="shared" si="46"/>
        <v>0</v>
      </c>
      <c r="N135" s="488"/>
      <c r="O135" s="479">
        <f t="shared" si="47"/>
        <v>0</v>
      </c>
      <c r="P135" s="479">
        <f t="shared" si="48"/>
        <v>0</v>
      </c>
    </row>
    <row r="136" spans="2:16" ht="12.5">
      <c r="B136" s="160" t="str">
        <f t="shared" si="28"/>
        <v/>
      </c>
      <c r="C136" s="473">
        <f>IF(D93="","-",+C135+1)</f>
        <v>2044</v>
      </c>
      <c r="D136" s="347">
        <f>IF(F135+SUM(E$99:E135)=D$92,F135,D$92-SUM(E$99:E135))</f>
        <v>16744</v>
      </c>
      <c r="E136" s="487">
        <f>IF(+J96&lt;F135,J96,D136)</f>
        <v>1963</v>
      </c>
      <c r="F136" s="486">
        <f t="shared" si="43"/>
        <v>14781</v>
      </c>
      <c r="G136" s="486">
        <f t="shared" si="44"/>
        <v>15762.5</v>
      </c>
      <c r="H136" s="487">
        <f t="shared" si="41"/>
        <v>3780.3729145794723</v>
      </c>
      <c r="I136" s="543">
        <f t="shared" si="42"/>
        <v>3780.3729145794723</v>
      </c>
      <c r="J136" s="479">
        <f t="shared" si="45"/>
        <v>0</v>
      </c>
      <c r="K136" s="479"/>
      <c r="L136" s="488"/>
      <c r="M136" s="479">
        <f t="shared" si="46"/>
        <v>0</v>
      </c>
      <c r="N136" s="488"/>
      <c r="O136" s="479">
        <f t="shared" si="47"/>
        <v>0</v>
      </c>
      <c r="P136" s="479">
        <f t="shared" si="48"/>
        <v>0</v>
      </c>
    </row>
    <row r="137" spans="2:16" ht="12.5">
      <c r="B137" s="160" t="str">
        <f t="shared" si="28"/>
        <v/>
      </c>
      <c r="C137" s="473">
        <f>IF(D93="","-",+C136+1)</f>
        <v>2045</v>
      </c>
      <c r="D137" s="347">
        <f>IF(F136+SUM(E$99:E136)=D$92,F136,D$92-SUM(E$99:E136))</f>
        <v>14781</v>
      </c>
      <c r="E137" s="487">
        <f>IF(+J96&lt;F136,J96,D137)</f>
        <v>1963</v>
      </c>
      <c r="F137" s="486">
        <f t="shared" si="43"/>
        <v>12818</v>
      </c>
      <c r="G137" s="486">
        <f t="shared" si="44"/>
        <v>13799.5</v>
      </c>
      <c r="H137" s="487">
        <f t="shared" si="41"/>
        <v>3554.0444114029774</v>
      </c>
      <c r="I137" s="543">
        <f t="shared" si="42"/>
        <v>3554.0444114029774</v>
      </c>
      <c r="J137" s="479">
        <f t="shared" si="45"/>
        <v>0</v>
      </c>
      <c r="K137" s="479"/>
      <c r="L137" s="488"/>
      <c r="M137" s="479">
        <f t="shared" si="46"/>
        <v>0</v>
      </c>
      <c r="N137" s="488"/>
      <c r="O137" s="479">
        <f t="shared" si="47"/>
        <v>0</v>
      </c>
      <c r="P137" s="479">
        <f t="shared" si="48"/>
        <v>0</v>
      </c>
    </row>
    <row r="138" spans="2:16" ht="12.5">
      <c r="B138" s="160" t="str">
        <f t="shared" si="28"/>
        <v/>
      </c>
      <c r="C138" s="473">
        <f>IF(D93="","-",+C137+1)</f>
        <v>2046</v>
      </c>
      <c r="D138" s="347">
        <f>IF(F137+SUM(E$99:E137)=D$92,F137,D$92-SUM(E$99:E137))</f>
        <v>12818</v>
      </c>
      <c r="E138" s="487">
        <f>IF(+J96&lt;F137,J96,D138)</f>
        <v>1963</v>
      </c>
      <c r="F138" s="486">
        <f t="shared" si="43"/>
        <v>10855</v>
      </c>
      <c r="G138" s="486">
        <f t="shared" si="44"/>
        <v>11836.5</v>
      </c>
      <c r="H138" s="487">
        <f t="shared" si="41"/>
        <v>3327.7159082264825</v>
      </c>
      <c r="I138" s="543">
        <f t="shared" si="42"/>
        <v>3327.7159082264825</v>
      </c>
      <c r="J138" s="479">
        <f t="shared" si="45"/>
        <v>0</v>
      </c>
      <c r="K138" s="479"/>
      <c r="L138" s="488"/>
      <c r="M138" s="479">
        <f t="shared" si="46"/>
        <v>0</v>
      </c>
      <c r="N138" s="488"/>
      <c r="O138" s="479">
        <f t="shared" si="47"/>
        <v>0</v>
      </c>
      <c r="P138" s="479">
        <f t="shared" si="48"/>
        <v>0</v>
      </c>
    </row>
    <row r="139" spans="2:16" ht="12.5">
      <c r="B139" s="160" t="str">
        <f t="shared" si="28"/>
        <v/>
      </c>
      <c r="C139" s="473">
        <f>IF(D93="","-",+C138+1)</f>
        <v>2047</v>
      </c>
      <c r="D139" s="347">
        <f>IF(F138+SUM(E$99:E138)=D$92,F138,D$92-SUM(E$99:E138))</f>
        <v>10855</v>
      </c>
      <c r="E139" s="487">
        <f>IF(+J96&lt;F138,J96,D139)</f>
        <v>1963</v>
      </c>
      <c r="F139" s="486">
        <f t="shared" si="43"/>
        <v>8892</v>
      </c>
      <c r="G139" s="486">
        <f t="shared" si="44"/>
        <v>9873.5</v>
      </c>
      <c r="H139" s="487">
        <f t="shared" si="41"/>
        <v>3101.3874050499871</v>
      </c>
      <c r="I139" s="543">
        <f t="shared" si="42"/>
        <v>3101.3874050499871</v>
      </c>
      <c r="J139" s="479">
        <f t="shared" si="45"/>
        <v>0</v>
      </c>
      <c r="K139" s="479"/>
      <c r="L139" s="488"/>
      <c r="M139" s="479">
        <f t="shared" si="46"/>
        <v>0</v>
      </c>
      <c r="N139" s="488"/>
      <c r="O139" s="479">
        <f t="shared" si="47"/>
        <v>0</v>
      </c>
      <c r="P139" s="479">
        <f t="shared" si="48"/>
        <v>0</v>
      </c>
    </row>
    <row r="140" spans="2:16" ht="12.5">
      <c r="B140" s="160" t="str">
        <f t="shared" si="28"/>
        <v/>
      </c>
      <c r="C140" s="473">
        <f>IF(D93="","-",+C139+1)</f>
        <v>2048</v>
      </c>
      <c r="D140" s="347">
        <f>IF(F139+SUM(E$99:E139)=D$92,F139,D$92-SUM(E$99:E139))</f>
        <v>8892</v>
      </c>
      <c r="E140" s="487">
        <f>IF(+J96&lt;F139,J96,D140)</f>
        <v>1963</v>
      </c>
      <c r="F140" s="486">
        <f t="shared" si="43"/>
        <v>6929</v>
      </c>
      <c r="G140" s="486">
        <f t="shared" si="44"/>
        <v>7910.5</v>
      </c>
      <c r="H140" s="487">
        <f t="shared" si="41"/>
        <v>2875.0589018734918</v>
      </c>
      <c r="I140" s="543">
        <f t="shared" si="42"/>
        <v>2875.0589018734918</v>
      </c>
      <c r="J140" s="479">
        <f t="shared" si="45"/>
        <v>0</v>
      </c>
      <c r="K140" s="479"/>
      <c r="L140" s="488"/>
      <c r="M140" s="479">
        <f t="shared" si="46"/>
        <v>0</v>
      </c>
      <c r="N140" s="488"/>
      <c r="O140" s="479">
        <f t="shared" si="47"/>
        <v>0</v>
      </c>
      <c r="P140" s="479">
        <f t="shared" si="48"/>
        <v>0</v>
      </c>
    </row>
    <row r="141" spans="2:16" ht="12.5">
      <c r="B141" s="160" t="str">
        <f t="shared" si="28"/>
        <v/>
      </c>
      <c r="C141" s="473">
        <f>IF(D93="","-",+C140+1)</f>
        <v>2049</v>
      </c>
      <c r="D141" s="347">
        <f>IF(F140+SUM(E$99:E140)=D$92,F140,D$92-SUM(E$99:E140))</f>
        <v>6929</v>
      </c>
      <c r="E141" s="487">
        <f>IF(+J96&lt;F140,J96,D141)</f>
        <v>1963</v>
      </c>
      <c r="F141" s="486">
        <f t="shared" si="43"/>
        <v>4966</v>
      </c>
      <c r="G141" s="486">
        <f t="shared" si="44"/>
        <v>5947.5</v>
      </c>
      <c r="H141" s="487">
        <f t="shared" si="41"/>
        <v>2648.7303986969969</v>
      </c>
      <c r="I141" s="543">
        <f t="shared" si="42"/>
        <v>2648.7303986969969</v>
      </c>
      <c r="J141" s="479">
        <f t="shared" si="45"/>
        <v>0</v>
      </c>
      <c r="K141" s="479"/>
      <c r="L141" s="488"/>
      <c r="M141" s="479">
        <f t="shared" si="46"/>
        <v>0</v>
      </c>
      <c r="N141" s="488"/>
      <c r="O141" s="479">
        <f t="shared" si="47"/>
        <v>0</v>
      </c>
      <c r="P141" s="479">
        <f t="shared" si="48"/>
        <v>0</v>
      </c>
    </row>
    <row r="142" spans="2:16" ht="12.5">
      <c r="B142" s="160" t="str">
        <f t="shared" si="28"/>
        <v/>
      </c>
      <c r="C142" s="473">
        <f>IF(D93="","-",+C141+1)</f>
        <v>2050</v>
      </c>
      <c r="D142" s="347">
        <f>IF(F141+SUM(E$99:E141)=D$92,F141,D$92-SUM(E$99:E141))</f>
        <v>4966</v>
      </c>
      <c r="E142" s="487">
        <f>IF(+J96&lt;F141,J96,D142)</f>
        <v>1963</v>
      </c>
      <c r="F142" s="486">
        <f t="shared" si="43"/>
        <v>3003</v>
      </c>
      <c r="G142" s="486">
        <f t="shared" si="44"/>
        <v>3984.5</v>
      </c>
      <c r="H142" s="487">
        <f t="shared" si="41"/>
        <v>2422.401895520502</v>
      </c>
      <c r="I142" s="543">
        <f t="shared" si="42"/>
        <v>2422.401895520502</v>
      </c>
      <c r="J142" s="479">
        <f t="shared" si="45"/>
        <v>0</v>
      </c>
      <c r="K142" s="479"/>
      <c r="L142" s="488"/>
      <c r="M142" s="479">
        <f t="shared" si="46"/>
        <v>0</v>
      </c>
      <c r="N142" s="488"/>
      <c r="O142" s="479">
        <f t="shared" si="47"/>
        <v>0</v>
      </c>
      <c r="P142" s="479">
        <f t="shared" si="48"/>
        <v>0</v>
      </c>
    </row>
    <row r="143" spans="2:16" ht="12.5">
      <c r="B143" s="160" t="str">
        <f t="shared" si="28"/>
        <v/>
      </c>
      <c r="C143" s="473">
        <f>IF(D93="","-",+C142+1)</f>
        <v>2051</v>
      </c>
      <c r="D143" s="347">
        <f>IF(F142+SUM(E$99:E142)=D$92,F142,D$92-SUM(E$99:E142))</f>
        <v>3003</v>
      </c>
      <c r="E143" s="487">
        <f>IF(+J96&lt;F142,J96,D143)</f>
        <v>1963</v>
      </c>
      <c r="F143" s="486">
        <f t="shared" si="43"/>
        <v>1040</v>
      </c>
      <c r="G143" s="486">
        <f t="shared" si="44"/>
        <v>2021.5</v>
      </c>
      <c r="H143" s="487">
        <f t="shared" si="41"/>
        <v>2196.0733923440066</v>
      </c>
      <c r="I143" s="543">
        <f t="shared" si="42"/>
        <v>2196.0733923440066</v>
      </c>
      <c r="J143" s="479">
        <f t="shared" si="45"/>
        <v>0</v>
      </c>
      <c r="K143" s="479"/>
      <c r="L143" s="488"/>
      <c r="M143" s="479">
        <f t="shared" si="46"/>
        <v>0</v>
      </c>
      <c r="N143" s="488"/>
      <c r="O143" s="479">
        <f t="shared" si="47"/>
        <v>0</v>
      </c>
      <c r="P143" s="479">
        <f t="shared" si="48"/>
        <v>0</v>
      </c>
    </row>
    <row r="144" spans="2:16" ht="12.5">
      <c r="B144" s="160" t="str">
        <f t="shared" si="28"/>
        <v/>
      </c>
      <c r="C144" s="473">
        <f>IF(D93="","-",+C143+1)</f>
        <v>2052</v>
      </c>
      <c r="D144" s="347">
        <f>IF(F143+SUM(E$99:E143)=D$92,F143,D$92-SUM(E$99:E143))</f>
        <v>1040</v>
      </c>
      <c r="E144" s="487">
        <f>IF(+J96&lt;F143,J96,D144)</f>
        <v>1040</v>
      </c>
      <c r="F144" s="486">
        <f t="shared" si="43"/>
        <v>0</v>
      </c>
      <c r="G144" s="486">
        <f t="shared" si="44"/>
        <v>520</v>
      </c>
      <c r="H144" s="487">
        <f t="shared" si="41"/>
        <v>1099.9545703778795</v>
      </c>
      <c r="I144" s="543">
        <f t="shared" si="42"/>
        <v>1099.9545703778795</v>
      </c>
      <c r="J144" s="479">
        <f t="shared" si="45"/>
        <v>0</v>
      </c>
      <c r="K144" s="479"/>
      <c r="L144" s="488"/>
      <c r="M144" s="479">
        <f t="shared" si="46"/>
        <v>0</v>
      </c>
      <c r="N144" s="488"/>
      <c r="O144" s="479">
        <f t="shared" si="47"/>
        <v>0</v>
      </c>
      <c r="P144" s="479">
        <f t="shared" si="48"/>
        <v>0</v>
      </c>
    </row>
    <row r="145" spans="2:16" ht="12.5">
      <c r="B145" s="160" t="str">
        <f t="shared" si="28"/>
        <v/>
      </c>
      <c r="C145" s="473">
        <f>IF(D93="","-",+C144+1)</f>
        <v>2053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43"/>
        <v>0</v>
      </c>
      <c r="G145" s="486">
        <f t="shared" si="44"/>
        <v>0</v>
      </c>
      <c r="H145" s="487">
        <f t="shared" si="41"/>
        <v>0</v>
      </c>
      <c r="I145" s="543">
        <f t="shared" si="42"/>
        <v>0</v>
      </c>
      <c r="J145" s="479">
        <f t="shared" si="45"/>
        <v>0</v>
      </c>
      <c r="K145" s="479"/>
      <c r="L145" s="488"/>
      <c r="M145" s="479">
        <f t="shared" si="46"/>
        <v>0</v>
      </c>
      <c r="N145" s="488"/>
      <c r="O145" s="479">
        <f t="shared" si="47"/>
        <v>0</v>
      </c>
      <c r="P145" s="479">
        <f t="shared" si="48"/>
        <v>0</v>
      </c>
    </row>
    <row r="146" spans="2:16" ht="12.5">
      <c r="B146" s="160" t="str">
        <f t="shared" si="28"/>
        <v/>
      </c>
      <c r="C146" s="473">
        <f>IF(D93="","-",+C145+1)</f>
        <v>2054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43"/>
        <v>0</v>
      </c>
      <c r="G146" s="486">
        <f t="shared" si="44"/>
        <v>0</v>
      </c>
      <c r="H146" s="487">
        <f t="shared" si="41"/>
        <v>0</v>
      </c>
      <c r="I146" s="543">
        <f t="shared" si="42"/>
        <v>0</v>
      </c>
      <c r="J146" s="479">
        <f t="shared" si="45"/>
        <v>0</v>
      </c>
      <c r="K146" s="479"/>
      <c r="L146" s="488"/>
      <c r="M146" s="479">
        <f t="shared" si="46"/>
        <v>0</v>
      </c>
      <c r="N146" s="488"/>
      <c r="O146" s="479">
        <f t="shared" si="47"/>
        <v>0</v>
      </c>
      <c r="P146" s="479">
        <f t="shared" si="48"/>
        <v>0</v>
      </c>
    </row>
    <row r="147" spans="2:16" ht="12.5">
      <c r="B147" s="160" t="str">
        <f t="shared" si="28"/>
        <v/>
      </c>
      <c r="C147" s="473">
        <f>IF(D93="","-",+C146+1)</f>
        <v>2055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43"/>
        <v>0</v>
      </c>
      <c r="G147" s="486">
        <f t="shared" si="44"/>
        <v>0</v>
      </c>
      <c r="H147" s="487">
        <f t="shared" si="41"/>
        <v>0</v>
      </c>
      <c r="I147" s="543">
        <f t="shared" si="42"/>
        <v>0</v>
      </c>
      <c r="J147" s="479">
        <f t="shared" si="45"/>
        <v>0</v>
      </c>
      <c r="K147" s="479"/>
      <c r="L147" s="488"/>
      <c r="M147" s="479">
        <f t="shared" si="46"/>
        <v>0</v>
      </c>
      <c r="N147" s="488"/>
      <c r="O147" s="479">
        <f t="shared" si="47"/>
        <v>0</v>
      </c>
      <c r="P147" s="479">
        <f t="shared" si="48"/>
        <v>0</v>
      </c>
    </row>
    <row r="148" spans="2:16" ht="12.5">
      <c r="B148" s="160" t="str">
        <f t="shared" si="28"/>
        <v/>
      </c>
      <c r="C148" s="473">
        <f>IF(D93="","-",+C147+1)</f>
        <v>2056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43"/>
        <v>0</v>
      </c>
      <c r="G148" s="486">
        <f t="shared" si="44"/>
        <v>0</v>
      </c>
      <c r="H148" s="487">
        <f t="shared" si="41"/>
        <v>0</v>
      </c>
      <c r="I148" s="543">
        <f t="shared" si="42"/>
        <v>0</v>
      </c>
      <c r="J148" s="479">
        <f t="shared" si="45"/>
        <v>0</v>
      </c>
      <c r="K148" s="479"/>
      <c r="L148" s="488"/>
      <c r="M148" s="479">
        <f t="shared" si="46"/>
        <v>0</v>
      </c>
      <c r="N148" s="488"/>
      <c r="O148" s="479">
        <f t="shared" si="47"/>
        <v>0</v>
      </c>
      <c r="P148" s="479">
        <f t="shared" si="48"/>
        <v>0</v>
      </c>
    </row>
    <row r="149" spans="2:16" ht="12.5">
      <c r="B149" s="160" t="str">
        <f t="shared" si="28"/>
        <v/>
      </c>
      <c r="C149" s="473">
        <f>IF(D93="","-",+C148+1)</f>
        <v>2057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43"/>
        <v>0</v>
      </c>
      <c r="G149" s="486">
        <f t="shared" si="44"/>
        <v>0</v>
      </c>
      <c r="H149" s="487">
        <f t="shared" si="41"/>
        <v>0</v>
      </c>
      <c r="I149" s="543">
        <f t="shared" si="42"/>
        <v>0</v>
      </c>
      <c r="J149" s="479">
        <f t="shared" si="45"/>
        <v>0</v>
      </c>
      <c r="K149" s="479"/>
      <c r="L149" s="488"/>
      <c r="M149" s="479">
        <f t="shared" si="46"/>
        <v>0</v>
      </c>
      <c r="N149" s="488"/>
      <c r="O149" s="479">
        <f t="shared" si="47"/>
        <v>0</v>
      </c>
      <c r="P149" s="479">
        <f t="shared" si="48"/>
        <v>0</v>
      </c>
    </row>
    <row r="150" spans="2:16" ht="12.5">
      <c r="B150" s="160" t="str">
        <f t="shared" si="28"/>
        <v/>
      </c>
      <c r="C150" s="473">
        <f>IF(D93="","-",+C149+1)</f>
        <v>2058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43"/>
        <v>0</v>
      </c>
      <c r="G150" s="486">
        <f t="shared" si="44"/>
        <v>0</v>
      </c>
      <c r="H150" s="487">
        <f t="shared" si="41"/>
        <v>0</v>
      </c>
      <c r="I150" s="543">
        <f t="shared" si="42"/>
        <v>0</v>
      </c>
      <c r="J150" s="479">
        <f t="shared" si="45"/>
        <v>0</v>
      </c>
      <c r="K150" s="479"/>
      <c r="L150" s="488"/>
      <c r="M150" s="479">
        <f t="shared" si="46"/>
        <v>0</v>
      </c>
      <c r="N150" s="488"/>
      <c r="O150" s="479">
        <f t="shared" si="47"/>
        <v>0</v>
      </c>
      <c r="P150" s="479">
        <f t="shared" si="48"/>
        <v>0</v>
      </c>
    </row>
    <row r="151" spans="2:16" ht="12.5">
      <c r="B151" s="160" t="str">
        <f t="shared" si="28"/>
        <v/>
      </c>
      <c r="C151" s="473">
        <f>IF(D93="","-",+C150+1)</f>
        <v>2059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43"/>
        <v>0</v>
      </c>
      <c r="G151" s="486">
        <f t="shared" si="44"/>
        <v>0</v>
      </c>
      <c r="H151" s="487">
        <f t="shared" si="41"/>
        <v>0</v>
      </c>
      <c r="I151" s="543">
        <f t="shared" si="42"/>
        <v>0</v>
      </c>
      <c r="J151" s="479">
        <f t="shared" si="45"/>
        <v>0</v>
      </c>
      <c r="K151" s="479"/>
      <c r="L151" s="488"/>
      <c r="M151" s="479">
        <f t="shared" si="46"/>
        <v>0</v>
      </c>
      <c r="N151" s="488"/>
      <c r="O151" s="479">
        <f t="shared" si="47"/>
        <v>0</v>
      </c>
      <c r="P151" s="479">
        <f t="shared" si="48"/>
        <v>0</v>
      </c>
    </row>
    <row r="152" spans="2:16" ht="12.5">
      <c r="B152" s="160" t="str">
        <f t="shared" si="28"/>
        <v/>
      </c>
      <c r="C152" s="473">
        <f>IF(D93="","-",+C151+1)</f>
        <v>2060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43"/>
        <v>0</v>
      </c>
      <c r="G152" s="486">
        <f t="shared" si="44"/>
        <v>0</v>
      </c>
      <c r="H152" s="487">
        <f t="shared" si="41"/>
        <v>0</v>
      </c>
      <c r="I152" s="543">
        <f t="shared" si="42"/>
        <v>0</v>
      </c>
      <c r="J152" s="479">
        <f t="shared" si="45"/>
        <v>0</v>
      </c>
      <c r="K152" s="479"/>
      <c r="L152" s="488"/>
      <c r="M152" s="479">
        <f t="shared" si="46"/>
        <v>0</v>
      </c>
      <c r="N152" s="488"/>
      <c r="O152" s="479">
        <f t="shared" si="47"/>
        <v>0</v>
      </c>
      <c r="P152" s="479">
        <f t="shared" si="48"/>
        <v>0</v>
      </c>
    </row>
    <row r="153" spans="2:16" ht="12.5">
      <c r="B153" s="160" t="str">
        <f t="shared" si="28"/>
        <v/>
      </c>
      <c r="C153" s="473">
        <f>IF(D93="","-",+C152+1)</f>
        <v>2061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43"/>
        <v>0</v>
      </c>
      <c r="G153" s="486">
        <f t="shared" si="44"/>
        <v>0</v>
      </c>
      <c r="H153" s="487">
        <f t="shared" si="41"/>
        <v>0</v>
      </c>
      <c r="I153" s="543">
        <f t="shared" si="42"/>
        <v>0</v>
      </c>
      <c r="J153" s="479">
        <f t="shared" si="45"/>
        <v>0</v>
      </c>
      <c r="K153" s="479"/>
      <c r="L153" s="488"/>
      <c r="M153" s="479">
        <f t="shared" si="46"/>
        <v>0</v>
      </c>
      <c r="N153" s="488"/>
      <c r="O153" s="479">
        <f t="shared" si="47"/>
        <v>0</v>
      </c>
      <c r="P153" s="479">
        <f t="shared" si="48"/>
        <v>0</v>
      </c>
    </row>
    <row r="154" spans="2:16" ht="13" thickBot="1">
      <c r="B154" s="160" t="str">
        <f t="shared" si="28"/>
        <v/>
      </c>
      <c r="C154" s="490">
        <f>IF(D93="","-",+C153+1)</f>
        <v>2062</v>
      </c>
      <c r="D154" s="544">
        <f>IF(F153+SUM(E$99:E153)=D$92,F153,D$92-SUM(E$99:E153))</f>
        <v>0</v>
      </c>
      <c r="E154" s="545">
        <f>IF(+J96&lt;F153,J96,D154)</f>
        <v>0</v>
      </c>
      <c r="F154" s="491">
        <f>+D154-E154</f>
        <v>0</v>
      </c>
      <c r="G154" s="491">
        <f>+(F154+D154)/2</f>
        <v>0</v>
      </c>
      <c r="H154" s="493">
        <f t="shared" ref="H154" si="49">+J$94*G154+E154</f>
        <v>0</v>
      </c>
      <c r="I154" s="546">
        <f t="shared" ref="I154" si="50">+J$95*G154+E154</f>
        <v>0</v>
      </c>
      <c r="J154" s="496">
        <f t="shared" si="45"/>
        <v>0</v>
      </c>
      <c r="K154" s="479"/>
      <c r="L154" s="495"/>
      <c r="M154" s="496">
        <f t="shared" si="46"/>
        <v>0</v>
      </c>
      <c r="N154" s="495"/>
      <c r="O154" s="496">
        <f t="shared" si="47"/>
        <v>0</v>
      </c>
      <c r="P154" s="496">
        <f t="shared" si="48"/>
        <v>0</v>
      </c>
    </row>
    <row r="155" spans="2:16" ht="12.5">
      <c r="C155" s="347" t="s">
        <v>77</v>
      </c>
      <c r="D155" s="348"/>
      <c r="E155" s="348">
        <f>SUM(E99:E154)</f>
        <v>84424</v>
      </c>
      <c r="F155" s="348"/>
      <c r="G155" s="348"/>
      <c r="H155" s="348">
        <f>SUM(H99:H154)</f>
        <v>327119.14897491253</v>
      </c>
      <c r="I155" s="348">
        <f>SUM(I99:I154)</f>
        <v>327119.14897491253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6">
    <tabColor rgb="FFC00000"/>
  </sheetPr>
  <dimension ref="A1:P162"/>
  <sheetViews>
    <sheetView view="pageBreakPreview" topLeftCell="B81" zoomScale="75" zoomScaleNormal="100" workbookViewId="0">
      <selection activeCell="H113" sqref="H113:I11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8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5709.7475035377865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5709.7475035377865</v>
      </c>
      <c r="O6" s="233"/>
      <c r="P6" s="233"/>
    </row>
    <row r="7" spans="1:16" ht="13.5" thickBot="1">
      <c r="C7" s="432" t="s">
        <v>46</v>
      </c>
      <c r="D7" s="433" t="s">
        <v>215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87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56133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2006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3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1305.4186046511627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2006</v>
      </c>
      <c r="D17" s="474">
        <v>56133</v>
      </c>
      <c r="E17" s="475">
        <v>752</v>
      </c>
      <c r="F17" s="474">
        <v>55381</v>
      </c>
      <c r="G17" s="475">
        <v>0</v>
      </c>
      <c r="H17" s="482">
        <v>0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2007</v>
      </c>
      <c r="D18" s="480">
        <v>55381</v>
      </c>
      <c r="E18" s="481">
        <v>1002</v>
      </c>
      <c r="F18" s="480">
        <v>54379</v>
      </c>
      <c r="G18" s="481">
        <v>0</v>
      </c>
      <c r="H18" s="482">
        <v>0</v>
      </c>
      <c r="I18" s="476">
        <f t="shared" si="0"/>
        <v>0</v>
      </c>
      <c r="J18" s="476"/>
      <c r="K18" s="477">
        <v>0</v>
      </c>
      <c r="L18" s="479">
        <f t="shared" si="1"/>
        <v>0</v>
      </c>
      <c r="M18" s="477">
        <v>0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2008</v>
      </c>
      <c r="D19" s="480">
        <v>54379</v>
      </c>
      <c r="E19" s="481">
        <v>1002</v>
      </c>
      <c r="F19" s="480">
        <v>53377</v>
      </c>
      <c r="G19" s="481">
        <v>0</v>
      </c>
      <c r="H19" s="482">
        <v>0</v>
      </c>
      <c r="I19" s="476">
        <f t="shared" si="0"/>
        <v>0</v>
      </c>
      <c r="J19" s="476"/>
      <c r="K19" s="477">
        <v>0</v>
      </c>
      <c r="L19" s="479">
        <f t="shared" si="1"/>
        <v>0</v>
      </c>
      <c r="M19" s="477">
        <v>0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4">IF(D20=F19,"","IU")</f>
        <v/>
      </c>
      <c r="C20" s="473">
        <f>IF(D11="","-",+C19+1)</f>
        <v>2009</v>
      </c>
      <c r="D20" s="480">
        <v>53377</v>
      </c>
      <c r="E20" s="481">
        <v>1002</v>
      </c>
      <c r="F20" s="480">
        <v>52375</v>
      </c>
      <c r="G20" s="481">
        <v>0</v>
      </c>
      <c r="H20" s="482">
        <v>0</v>
      </c>
      <c r="I20" s="476">
        <f t="shared" si="0"/>
        <v>0</v>
      </c>
      <c r="J20" s="476"/>
      <c r="K20" s="477">
        <v>0</v>
      </c>
      <c r="L20" s="479">
        <f t="shared" si="1"/>
        <v>0</v>
      </c>
      <c r="M20" s="477">
        <v>0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4"/>
        <v/>
      </c>
      <c r="C21" s="473">
        <f>IF(D11="","-",+C20+1)</f>
        <v>2010</v>
      </c>
      <c r="D21" s="480">
        <v>52375</v>
      </c>
      <c r="E21" s="481">
        <v>1002.375</v>
      </c>
      <c r="F21" s="480">
        <v>51372.625</v>
      </c>
      <c r="G21" s="481">
        <v>8415.2657154769768</v>
      </c>
      <c r="H21" s="482">
        <v>8415.2657154769768</v>
      </c>
      <c r="I21" s="476">
        <f t="shared" si="0"/>
        <v>0</v>
      </c>
      <c r="J21" s="476"/>
      <c r="K21" s="477">
        <f t="shared" ref="K21:K26" si="5">G21</f>
        <v>8415.2657154769768</v>
      </c>
      <c r="L21" s="551">
        <f t="shared" si="1"/>
        <v>0</v>
      </c>
      <c r="M21" s="477">
        <f t="shared" ref="M21:M26" si="6">H21</f>
        <v>8415.2657154769768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4"/>
        <v/>
      </c>
      <c r="C22" s="473">
        <f>IF(D11="","-",+C21+1)</f>
        <v>2011</v>
      </c>
      <c r="D22" s="480">
        <v>51372.625</v>
      </c>
      <c r="E22" s="481">
        <v>1100.6470588235295</v>
      </c>
      <c r="F22" s="480">
        <v>50271.977941176468</v>
      </c>
      <c r="G22" s="481">
        <v>8970.3904929935452</v>
      </c>
      <c r="H22" s="482">
        <v>8970.3904929935452</v>
      </c>
      <c r="I22" s="476">
        <f t="shared" si="0"/>
        <v>0</v>
      </c>
      <c r="J22" s="476"/>
      <c r="K22" s="477">
        <f t="shared" si="5"/>
        <v>8970.3904929935452</v>
      </c>
      <c r="L22" s="551">
        <f t="shared" si="1"/>
        <v>0</v>
      </c>
      <c r="M22" s="477">
        <f t="shared" si="6"/>
        <v>8970.3904929935452</v>
      </c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4"/>
        <v/>
      </c>
      <c r="C23" s="473">
        <f>IF(D11="","-",+C22+1)</f>
        <v>2012</v>
      </c>
      <c r="D23" s="480">
        <v>50271.977941176468</v>
      </c>
      <c r="E23" s="481">
        <v>1079.4807692307693</v>
      </c>
      <c r="F23" s="480">
        <v>49192.497171945703</v>
      </c>
      <c r="G23" s="481">
        <v>7927.4076335998161</v>
      </c>
      <c r="H23" s="482">
        <v>7927.4076335998161</v>
      </c>
      <c r="I23" s="476">
        <f t="shared" si="0"/>
        <v>0</v>
      </c>
      <c r="J23" s="476"/>
      <c r="K23" s="477">
        <f t="shared" si="5"/>
        <v>7927.4076335998161</v>
      </c>
      <c r="L23" s="551">
        <f t="shared" si="1"/>
        <v>0</v>
      </c>
      <c r="M23" s="477">
        <f t="shared" si="6"/>
        <v>7927.4076335998161</v>
      </c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4"/>
        <v/>
      </c>
      <c r="C24" s="473">
        <f>IF(D11="","-",+C23+1)</f>
        <v>2013</v>
      </c>
      <c r="D24" s="480">
        <v>49192.497171945703</v>
      </c>
      <c r="E24" s="481">
        <v>1079.4807692307693</v>
      </c>
      <c r="F24" s="480">
        <v>48113.016402714937</v>
      </c>
      <c r="G24" s="481">
        <v>7950.3447729090094</v>
      </c>
      <c r="H24" s="482">
        <v>7950.3447729090094</v>
      </c>
      <c r="I24" s="476">
        <v>0</v>
      </c>
      <c r="J24" s="476"/>
      <c r="K24" s="477">
        <f t="shared" si="5"/>
        <v>7950.3447729090094</v>
      </c>
      <c r="L24" s="551">
        <f t="shared" ref="L24:L29" si="7">IF(K24&lt;&gt;0,+G24-K24,0)</f>
        <v>0</v>
      </c>
      <c r="M24" s="477">
        <f t="shared" si="6"/>
        <v>7950.3447729090094</v>
      </c>
      <c r="N24" s="479">
        <f t="shared" ref="N24:N29" si="8">IF(M24&lt;&gt;0,+H24-M24,0)</f>
        <v>0</v>
      </c>
      <c r="O24" s="479">
        <f t="shared" ref="O24:O29" si="9">+N24-L24</f>
        <v>0</v>
      </c>
      <c r="P24" s="243"/>
    </row>
    <row r="25" spans="2:16" ht="12.5">
      <c r="B25" s="160" t="str">
        <f t="shared" si="4"/>
        <v/>
      </c>
      <c r="C25" s="473">
        <f>IF(D11="","-",+C24+1)</f>
        <v>2014</v>
      </c>
      <c r="D25" s="480">
        <v>48113.016402714937</v>
      </c>
      <c r="E25" s="481">
        <v>1079.4807692307693</v>
      </c>
      <c r="F25" s="480">
        <v>47033.535633484171</v>
      </c>
      <c r="G25" s="481">
        <v>7554.0593246775043</v>
      </c>
      <c r="H25" s="482">
        <v>7554.0593246775043</v>
      </c>
      <c r="I25" s="476">
        <v>0</v>
      </c>
      <c r="J25" s="476"/>
      <c r="K25" s="477">
        <f t="shared" si="5"/>
        <v>7554.0593246775043</v>
      </c>
      <c r="L25" s="551">
        <f t="shared" si="7"/>
        <v>0</v>
      </c>
      <c r="M25" s="477">
        <f t="shared" si="6"/>
        <v>7554.0593246775043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4"/>
        <v/>
      </c>
      <c r="C26" s="473">
        <f>IF(D11="","-",+C25+1)</f>
        <v>2015</v>
      </c>
      <c r="D26" s="480">
        <v>47033.535633484171</v>
      </c>
      <c r="E26" s="481">
        <v>1079.4807692307693</v>
      </c>
      <c r="F26" s="480">
        <v>45954.054864253405</v>
      </c>
      <c r="G26" s="481">
        <v>7415.24244849963</v>
      </c>
      <c r="H26" s="482">
        <v>7415.24244849963</v>
      </c>
      <c r="I26" s="476">
        <v>0</v>
      </c>
      <c r="J26" s="476"/>
      <c r="K26" s="477">
        <f t="shared" si="5"/>
        <v>7415.24244849963</v>
      </c>
      <c r="L26" s="551">
        <f t="shared" si="7"/>
        <v>0</v>
      </c>
      <c r="M26" s="477">
        <f t="shared" si="6"/>
        <v>7415.24244849963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4"/>
        <v/>
      </c>
      <c r="C27" s="473">
        <f>IF(D11="","-",+C26+1)</f>
        <v>2016</v>
      </c>
      <c r="D27" s="480">
        <v>45954.054864253405</v>
      </c>
      <c r="E27" s="481">
        <v>1079.4807692307693</v>
      </c>
      <c r="F27" s="480">
        <v>44874.574095022639</v>
      </c>
      <c r="G27" s="481">
        <v>6965.2134846377958</v>
      </c>
      <c r="H27" s="482">
        <v>6965.2134846377958</v>
      </c>
      <c r="I27" s="476">
        <f t="shared" si="0"/>
        <v>0</v>
      </c>
      <c r="J27" s="476"/>
      <c r="K27" s="477">
        <f>G27</f>
        <v>6965.2134846377958</v>
      </c>
      <c r="L27" s="551">
        <f t="shared" si="7"/>
        <v>0</v>
      </c>
      <c r="M27" s="477">
        <f>H27</f>
        <v>6965.2134846377958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4"/>
        <v/>
      </c>
      <c r="C28" s="473">
        <f>IF(D11="","-",+C27+1)</f>
        <v>2017</v>
      </c>
      <c r="D28" s="480">
        <v>44874.574095022639</v>
      </c>
      <c r="E28" s="481">
        <v>1220.2826086956522</v>
      </c>
      <c r="F28" s="480">
        <v>43654.291486326983</v>
      </c>
      <c r="G28" s="481">
        <v>6775.7563240948048</v>
      </c>
      <c r="H28" s="482">
        <v>6775.7563240948048</v>
      </c>
      <c r="I28" s="476">
        <f t="shared" si="0"/>
        <v>0</v>
      </c>
      <c r="J28" s="476"/>
      <c r="K28" s="477">
        <f>G28</f>
        <v>6775.7563240948048</v>
      </c>
      <c r="L28" s="551">
        <f t="shared" si="7"/>
        <v>0</v>
      </c>
      <c r="M28" s="477">
        <f>H28</f>
        <v>6775.7563240948048</v>
      </c>
      <c r="N28" s="479">
        <f t="shared" si="8"/>
        <v>0</v>
      </c>
      <c r="O28" s="479">
        <f t="shared" si="9"/>
        <v>0</v>
      </c>
      <c r="P28" s="243"/>
    </row>
    <row r="29" spans="2:16" ht="12.5">
      <c r="B29" s="160" t="str">
        <f t="shared" si="4"/>
        <v/>
      </c>
      <c r="C29" s="473">
        <f>IF(D11="","-",+C28+1)</f>
        <v>2018</v>
      </c>
      <c r="D29" s="480">
        <v>43654.291486326983</v>
      </c>
      <c r="E29" s="481">
        <v>1247.4000000000001</v>
      </c>
      <c r="F29" s="480">
        <v>42406.891486326982</v>
      </c>
      <c r="G29" s="481">
        <v>6986.5540517513546</v>
      </c>
      <c r="H29" s="482">
        <v>6986.5540517513546</v>
      </c>
      <c r="I29" s="476">
        <f t="shared" si="0"/>
        <v>0</v>
      </c>
      <c r="J29" s="476"/>
      <c r="K29" s="477">
        <f>G29</f>
        <v>6986.5540517513546</v>
      </c>
      <c r="L29" s="551">
        <f t="shared" si="7"/>
        <v>0</v>
      </c>
      <c r="M29" s="477">
        <f>H29</f>
        <v>6986.5540517513546</v>
      </c>
      <c r="N29" s="479">
        <f t="shared" si="8"/>
        <v>0</v>
      </c>
      <c r="O29" s="479">
        <f t="shared" si="9"/>
        <v>0</v>
      </c>
      <c r="P29" s="243"/>
    </row>
    <row r="30" spans="2:16" ht="12.5">
      <c r="B30" s="160" t="str">
        <f t="shared" si="4"/>
        <v/>
      </c>
      <c r="C30" s="473">
        <f>IF(D11="","-",+C29+1)</f>
        <v>2019</v>
      </c>
      <c r="D30" s="480">
        <v>42406.891486326982</v>
      </c>
      <c r="E30" s="481">
        <v>1247.4000000000001</v>
      </c>
      <c r="F30" s="480">
        <v>41159.491486326981</v>
      </c>
      <c r="G30" s="481">
        <v>6817.7366611519319</v>
      </c>
      <c r="H30" s="482">
        <v>6817.7366611519319</v>
      </c>
      <c r="I30" s="476">
        <f t="shared" si="0"/>
        <v>0</v>
      </c>
      <c r="J30" s="476"/>
      <c r="K30" s="477">
        <f>G30</f>
        <v>6817.7366611519319</v>
      </c>
      <c r="L30" s="551">
        <f t="shared" ref="L30" si="10">IF(K30&lt;&gt;0,+G30-K30,0)</f>
        <v>0</v>
      </c>
      <c r="M30" s="477">
        <f>H30</f>
        <v>6817.7366611519319</v>
      </c>
      <c r="N30" s="479">
        <f t="shared" ref="N30" si="11">IF(M30&lt;&gt;0,+H30-M30,0)</f>
        <v>0</v>
      </c>
      <c r="O30" s="479">
        <f t="shared" ref="O30" si="12">+N30-L30</f>
        <v>0</v>
      </c>
      <c r="P30" s="243"/>
    </row>
    <row r="31" spans="2:16" ht="12.5">
      <c r="B31" s="160" t="str">
        <f t="shared" si="4"/>
        <v/>
      </c>
      <c r="C31" s="473">
        <f>IF(D11="","-",+C30+1)</f>
        <v>2020</v>
      </c>
      <c r="D31" s="480">
        <v>41159.491486326981</v>
      </c>
      <c r="E31" s="481">
        <v>1336.5</v>
      </c>
      <c r="F31" s="480">
        <v>39822.991486326981</v>
      </c>
      <c r="G31" s="481">
        <v>5709.7475035377865</v>
      </c>
      <c r="H31" s="482">
        <v>5709.7475035377865</v>
      </c>
      <c r="I31" s="476">
        <f t="shared" si="0"/>
        <v>0</v>
      </c>
      <c r="J31" s="476"/>
      <c r="K31" s="477">
        <f>G31</f>
        <v>5709.7475035377865</v>
      </c>
      <c r="L31" s="551">
        <f t="shared" ref="L31" si="13">IF(K31&lt;&gt;0,+G31-K31,0)</f>
        <v>0</v>
      </c>
      <c r="M31" s="477">
        <f>H31</f>
        <v>5709.7475035377865</v>
      </c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4"/>
        <v/>
      </c>
      <c r="C32" s="473">
        <f>IF(D11="","-",+C31+1)</f>
        <v>2021</v>
      </c>
      <c r="D32" s="486">
        <f>IF(F31+SUM(E$17:E31)=D$10,F31,D$10-SUM(E$17:E31))</f>
        <v>39822.991486326981</v>
      </c>
      <c r="E32" s="485">
        <f>IF(+I14&lt;F31,I14,D32)</f>
        <v>1305.4186046511627</v>
      </c>
      <c r="F32" s="486">
        <f t="shared" ref="F32:F48" si="14">+D32-E32</f>
        <v>38517.57288167582</v>
      </c>
      <c r="G32" s="487">
        <f t="shared" ref="G32:G72" si="15">(D32+F32)/2*I$12+E32</f>
        <v>5812.2077237178255</v>
      </c>
      <c r="H32" s="456">
        <f t="shared" ref="H32:H72" si="16">+(D32+F32)/2*I$13+E32</f>
        <v>5812.2077237178255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4"/>
        <v/>
      </c>
      <c r="C33" s="473">
        <f>IF(D11="","-",+C32+1)</f>
        <v>2022</v>
      </c>
      <c r="D33" s="486">
        <f>IF(F32+SUM(E$17:E32)=D$10,F32,D$10-SUM(E$17:E32))</f>
        <v>38517.57288167582</v>
      </c>
      <c r="E33" s="485">
        <f>IF(+I14&lt;F32,I14,D33)</f>
        <v>1305.4186046511627</v>
      </c>
      <c r="F33" s="486">
        <f t="shared" si="14"/>
        <v>37212.15427702466</v>
      </c>
      <c r="G33" s="487">
        <f t="shared" si="15"/>
        <v>5662.0110430905934</v>
      </c>
      <c r="H33" s="456">
        <f t="shared" si="16"/>
        <v>5662.0110430905934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4"/>
        <v/>
      </c>
      <c r="C34" s="473">
        <f>IF(D11="","-",+C33+1)</f>
        <v>2023</v>
      </c>
      <c r="D34" s="486">
        <f>IF(F33+SUM(E$17:E33)=D$10,F33,D$10-SUM(E$17:E33))</f>
        <v>37212.15427702466</v>
      </c>
      <c r="E34" s="485">
        <f>IF(+I14&lt;F33,I14,D34)</f>
        <v>1305.4186046511627</v>
      </c>
      <c r="F34" s="486">
        <f t="shared" si="14"/>
        <v>35906.735672373499</v>
      </c>
      <c r="G34" s="487">
        <f t="shared" si="15"/>
        <v>5511.8143624633594</v>
      </c>
      <c r="H34" s="456">
        <f t="shared" si="16"/>
        <v>5511.8143624633594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4"/>
        <v/>
      </c>
      <c r="C35" s="473">
        <f>IF(D11="","-",+C34+1)</f>
        <v>2024</v>
      </c>
      <c r="D35" s="486">
        <f>IF(F34+SUM(E$17:E34)=D$10,F34,D$10-SUM(E$17:E34))</f>
        <v>35906.735672373499</v>
      </c>
      <c r="E35" s="485">
        <f>IF(+I14&lt;F34,I14,D35)</f>
        <v>1305.4186046511627</v>
      </c>
      <c r="F35" s="486">
        <f t="shared" si="14"/>
        <v>34601.317067722339</v>
      </c>
      <c r="G35" s="487">
        <f t="shared" si="15"/>
        <v>5361.6176818361273</v>
      </c>
      <c r="H35" s="456">
        <f t="shared" si="16"/>
        <v>5361.6176818361273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4"/>
        <v/>
      </c>
      <c r="C36" s="473">
        <f>IF(D11="","-",+C35+1)</f>
        <v>2025</v>
      </c>
      <c r="D36" s="486">
        <f>IF(F35+SUM(E$17:E35)=D$10,F35,D$10-SUM(E$17:E35))</f>
        <v>34601.317067722339</v>
      </c>
      <c r="E36" s="485">
        <f>IF(+I14&lt;F35,I14,D36)</f>
        <v>1305.4186046511627</v>
      </c>
      <c r="F36" s="486">
        <f t="shared" si="14"/>
        <v>33295.898463071178</v>
      </c>
      <c r="G36" s="487">
        <f t="shared" si="15"/>
        <v>5211.4210012088952</v>
      </c>
      <c r="H36" s="456">
        <f t="shared" si="16"/>
        <v>5211.4210012088952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4"/>
        <v/>
      </c>
      <c r="C37" s="473">
        <f>IF(D11="","-",+C36+1)</f>
        <v>2026</v>
      </c>
      <c r="D37" s="486">
        <f>IF(F36+SUM(E$17:E36)=D$10,F36,D$10-SUM(E$17:E36))</f>
        <v>33295.898463071178</v>
      </c>
      <c r="E37" s="485">
        <f>IF(+I14&lt;F36,I14,D37)</f>
        <v>1305.4186046511627</v>
      </c>
      <c r="F37" s="486">
        <f t="shared" si="14"/>
        <v>31990.479858420014</v>
      </c>
      <c r="G37" s="487">
        <f t="shared" si="15"/>
        <v>5061.2243205816631</v>
      </c>
      <c r="H37" s="456">
        <f t="shared" si="16"/>
        <v>5061.2243205816631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566" t="str">
        <f t="shared" si="4"/>
        <v/>
      </c>
      <c r="C38" s="473">
        <f>IF(D11="","-",+C37+1)</f>
        <v>2027</v>
      </c>
      <c r="D38" s="486">
        <f>IF(F37+SUM(E$17:E37)=D$10,F37,D$10-SUM(E$17:E37))</f>
        <v>31990.479858420014</v>
      </c>
      <c r="E38" s="485">
        <f>IF(+I14&lt;F37,I14,D38)</f>
        <v>1305.4186046511627</v>
      </c>
      <c r="F38" s="486">
        <f t="shared" si="14"/>
        <v>30685.06125376885</v>
      </c>
      <c r="G38" s="487">
        <f t="shared" si="15"/>
        <v>4911.0276399544291</v>
      </c>
      <c r="H38" s="456">
        <f t="shared" si="16"/>
        <v>4911.0276399544291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4"/>
        <v/>
      </c>
      <c r="C39" s="473">
        <f>IF(D11="","-",+C38+1)</f>
        <v>2028</v>
      </c>
      <c r="D39" s="486">
        <f>IF(F38+SUM(E$17:E38)=D$10,F38,D$10-SUM(E$17:E38))</f>
        <v>30685.06125376885</v>
      </c>
      <c r="E39" s="485">
        <f>IF(+I14&lt;F38,I14,D39)</f>
        <v>1305.4186046511627</v>
      </c>
      <c r="F39" s="486">
        <f t="shared" si="14"/>
        <v>29379.642649117686</v>
      </c>
      <c r="G39" s="487">
        <f t="shared" si="15"/>
        <v>4760.830959327197</v>
      </c>
      <c r="H39" s="456">
        <f t="shared" si="16"/>
        <v>4760.830959327197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4"/>
        <v/>
      </c>
      <c r="C40" s="473">
        <f>IF(D11="","-",+C39+1)</f>
        <v>2029</v>
      </c>
      <c r="D40" s="486">
        <f>IF(F39+SUM(E$17:E39)=D$10,F39,D$10-SUM(E$17:E39))</f>
        <v>29379.642649117686</v>
      </c>
      <c r="E40" s="485">
        <f>IF(+I14&lt;F39,I14,D40)</f>
        <v>1305.4186046511627</v>
      </c>
      <c r="F40" s="486">
        <f t="shared" si="14"/>
        <v>28074.224044466522</v>
      </c>
      <c r="G40" s="487">
        <f t="shared" si="15"/>
        <v>4610.634278699963</v>
      </c>
      <c r="H40" s="456">
        <f t="shared" si="16"/>
        <v>4610.634278699963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4"/>
        <v/>
      </c>
      <c r="C41" s="473">
        <f>IF(D11="","-",+C40+1)</f>
        <v>2030</v>
      </c>
      <c r="D41" s="486">
        <f>IF(F40+SUM(E$17:E40)=D$10,F40,D$10-SUM(E$17:E40))</f>
        <v>28074.224044466522</v>
      </c>
      <c r="E41" s="485">
        <f>IF(+I14&lt;F40,I14,D41)</f>
        <v>1305.4186046511627</v>
      </c>
      <c r="F41" s="486">
        <f t="shared" si="14"/>
        <v>26768.805439815358</v>
      </c>
      <c r="G41" s="487">
        <f t="shared" si="15"/>
        <v>4460.4375980727309</v>
      </c>
      <c r="H41" s="456">
        <f t="shared" si="16"/>
        <v>4460.4375980727309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4"/>
        <v/>
      </c>
      <c r="C42" s="473">
        <f>IF(D11="","-",+C41+1)</f>
        <v>2031</v>
      </c>
      <c r="D42" s="486">
        <f>IF(F41+SUM(E$17:E41)=D$10,F41,D$10-SUM(E$17:E41))</f>
        <v>26768.805439815358</v>
      </c>
      <c r="E42" s="485">
        <f>IF(+I14&lt;F41,I14,D42)</f>
        <v>1305.4186046511627</v>
      </c>
      <c r="F42" s="486">
        <f t="shared" si="14"/>
        <v>25463.386835164194</v>
      </c>
      <c r="G42" s="487">
        <f t="shared" si="15"/>
        <v>4310.240917445497</v>
      </c>
      <c r="H42" s="456">
        <f t="shared" si="16"/>
        <v>4310.240917445497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4"/>
        <v/>
      </c>
      <c r="C43" s="473">
        <f>IF(D11="","-",+C42+1)</f>
        <v>2032</v>
      </c>
      <c r="D43" s="486">
        <f>IF(F42+SUM(E$17:E42)=D$10,F42,D$10-SUM(E$17:E42))</f>
        <v>25463.386835164194</v>
      </c>
      <c r="E43" s="485">
        <f>IF(+I14&lt;F42,I14,D43)</f>
        <v>1305.4186046511627</v>
      </c>
      <c r="F43" s="486">
        <f t="shared" si="14"/>
        <v>24157.96823051303</v>
      </c>
      <c r="G43" s="487">
        <f t="shared" si="15"/>
        <v>4160.0442368182648</v>
      </c>
      <c r="H43" s="456">
        <f t="shared" si="16"/>
        <v>4160.0442368182648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4"/>
        <v/>
      </c>
      <c r="C44" s="473">
        <f>IF(D11="","-",+C43+1)</f>
        <v>2033</v>
      </c>
      <c r="D44" s="486">
        <f>IF(F43+SUM(E$17:E43)=D$10,F43,D$10-SUM(E$17:E43))</f>
        <v>24157.96823051303</v>
      </c>
      <c r="E44" s="485">
        <f>IF(+I14&lt;F43,I14,D44)</f>
        <v>1305.4186046511627</v>
      </c>
      <c r="F44" s="486">
        <f t="shared" si="14"/>
        <v>22852.549625861866</v>
      </c>
      <c r="G44" s="487">
        <f t="shared" si="15"/>
        <v>4009.8475561910313</v>
      </c>
      <c r="H44" s="456">
        <f t="shared" si="16"/>
        <v>4009.8475561910313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4"/>
        <v/>
      </c>
      <c r="C45" s="473">
        <f>IF(D11="","-",+C44+1)</f>
        <v>2034</v>
      </c>
      <c r="D45" s="486">
        <f>IF(F44+SUM(E$17:E44)=D$10,F44,D$10-SUM(E$17:E44))</f>
        <v>22852.549625861866</v>
      </c>
      <c r="E45" s="485">
        <f>IF(+I14&lt;F44,I14,D45)</f>
        <v>1305.4186046511627</v>
      </c>
      <c r="F45" s="486">
        <f t="shared" si="14"/>
        <v>21547.131021210702</v>
      </c>
      <c r="G45" s="487">
        <f t="shared" si="15"/>
        <v>3859.6508755637988</v>
      </c>
      <c r="H45" s="456">
        <f t="shared" si="16"/>
        <v>3859.6508755637988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4"/>
        <v/>
      </c>
      <c r="C46" s="473">
        <f>IF(D11="","-",+C45+1)</f>
        <v>2035</v>
      </c>
      <c r="D46" s="486">
        <f>IF(F45+SUM(E$17:E45)=D$10,F45,D$10-SUM(E$17:E45))</f>
        <v>21547.131021210702</v>
      </c>
      <c r="E46" s="485">
        <f>IF(+I14&lt;F45,I14,D46)</f>
        <v>1305.4186046511627</v>
      </c>
      <c r="F46" s="486">
        <f t="shared" si="14"/>
        <v>20241.712416559538</v>
      </c>
      <c r="G46" s="487">
        <f t="shared" si="15"/>
        <v>3709.4541949365657</v>
      </c>
      <c r="H46" s="456">
        <f t="shared" si="16"/>
        <v>3709.4541949365657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4"/>
        <v/>
      </c>
      <c r="C47" s="473">
        <f>IF(D11="","-",+C46+1)</f>
        <v>2036</v>
      </c>
      <c r="D47" s="486">
        <f>IF(F46+SUM(E$17:E46)=D$10,F46,D$10-SUM(E$17:E46))</f>
        <v>20241.712416559538</v>
      </c>
      <c r="E47" s="485">
        <f>IF(+I14&lt;F46,I14,D47)</f>
        <v>1305.4186046511627</v>
      </c>
      <c r="F47" s="486">
        <f t="shared" si="14"/>
        <v>18936.293811908374</v>
      </c>
      <c r="G47" s="487">
        <f t="shared" si="15"/>
        <v>3559.2575143093331</v>
      </c>
      <c r="H47" s="456">
        <f t="shared" si="16"/>
        <v>3559.2575143093331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4"/>
        <v/>
      </c>
      <c r="C48" s="473">
        <f>IF(D11="","-",+C47+1)</f>
        <v>2037</v>
      </c>
      <c r="D48" s="486">
        <f>IF(F47+SUM(E$17:E47)=D$10,F47,D$10-SUM(E$17:E47))</f>
        <v>18936.293811908374</v>
      </c>
      <c r="E48" s="485">
        <f>IF(+I14&lt;F47,I14,D48)</f>
        <v>1305.4186046511627</v>
      </c>
      <c r="F48" s="486">
        <f t="shared" si="14"/>
        <v>17630.87520725721</v>
      </c>
      <c r="G48" s="487">
        <f t="shared" si="15"/>
        <v>3409.0608336820997</v>
      </c>
      <c r="H48" s="456">
        <f t="shared" si="16"/>
        <v>3409.0608336820997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4"/>
        <v/>
      </c>
      <c r="C49" s="473">
        <f>IF(D11="","-",+C48+1)</f>
        <v>2038</v>
      </c>
      <c r="D49" s="486">
        <f>IF(F48+SUM(E$17:E48)=D$10,F48,D$10-SUM(E$17:E48))</f>
        <v>17630.87520725721</v>
      </c>
      <c r="E49" s="485">
        <f>IF(+I14&lt;F48,I14,D49)</f>
        <v>1305.4186046511627</v>
      </c>
      <c r="F49" s="486">
        <f t="shared" ref="F49:F72" si="17">+D49-E49</f>
        <v>16325.456602606047</v>
      </c>
      <c r="G49" s="487">
        <f t="shared" si="15"/>
        <v>3258.8641530548671</v>
      </c>
      <c r="H49" s="456">
        <f t="shared" si="16"/>
        <v>3258.8641530548671</v>
      </c>
      <c r="I49" s="476">
        <f t="shared" ref="I49:I72" si="18">H49-G49</f>
        <v>0</v>
      </c>
      <c r="J49" s="476"/>
      <c r="K49" s="488"/>
      <c r="L49" s="479">
        <f t="shared" ref="L49:L72" si="19">IF(K49&lt;&gt;0,+G49-K49,0)</f>
        <v>0</v>
      </c>
      <c r="M49" s="488"/>
      <c r="N49" s="479">
        <f t="shared" ref="N49:N72" si="20">IF(M49&lt;&gt;0,+H49-M49,0)</f>
        <v>0</v>
      </c>
      <c r="O49" s="479">
        <f t="shared" ref="O49:O72" si="21">+N49-L49</f>
        <v>0</v>
      </c>
      <c r="P49" s="243"/>
    </row>
    <row r="50" spans="2:16" ht="12.5">
      <c r="B50" s="160" t="str">
        <f t="shared" si="4"/>
        <v/>
      </c>
      <c r="C50" s="473">
        <f>IF(D11="","-",+C49+1)</f>
        <v>2039</v>
      </c>
      <c r="D50" s="486">
        <f>IF(F49+SUM(E$17:E49)=D$10,F49,D$10-SUM(E$17:E49))</f>
        <v>16325.456602606047</v>
      </c>
      <c r="E50" s="485">
        <f>IF(+I14&lt;F49,I14,D50)</f>
        <v>1305.4186046511627</v>
      </c>
      <c r="F50" s="486">
        <f t="shared" si="17"/>
        <v>15020.037997954885</v>
      </c>
      <c r="G50" s="487">
        <f t="shared" si="15"/>
        <v>3108.667472427634</v>
      </c>
      <c r="H50" s="456">
        <f t="shared" si="16"/>
        <v>3108.667472427634</v>
      </c>
      <c r="I50" s="476">
        <f t="shared" si="18"/>
        <v>0</v>
      </c>
      <c r="J50" s="476"/>
      <c r="K50" s="488"/>
      <c r="L50" s="479">
        <f t="shared" si="19"/>
        <v>0</v>
      </c>
      <c r="M50" s="488"/>
      <c r="N50" s="479">
        <f t="shared" si="20"/>
        <v>0</v>
      </c>
      <c r="O50" s="479">
        <f t="shared" si="21"/>
        <v>0</v>
      </c>
      <c r="P50" s="243"/>
    </row>
    <row r="51" spans="2:16" ht="12.5">
      <c r="B51" s="160" t="str">
        <f t="shared" si="4"/>
        <v/>
      </c>
      <c r="C51" s="473">
        <f>IF(D11="","-",+C50+1)</f>
        <v>2040</v>
      </c>
      <c r="D51" s="486">
        <f>IF(F50+SUM(E$17:E50)=D$10,F50,D$10-SUM(E$17:E50))</f>
        <v>15020.037997954885</v>
      </c>
      <c r="E51" s="485">
        <f>IF(+I14&lt;F50,I14,D51)</f>
        <v>1305.4186046511627</v>
      </c>
      <c r="F51" s="486">
        <f t="shared" si="17"/>
        <v>13714.619393303723</v>
      </c>
      <c r="G51" s="487">
        <f t="shared" si="15"/>
        <v>2958.4707918004015</v>
      </c>
      <c r="H51" s="456">
        <f t="shared" si="16"/>
        <v>2958.4707918004015</v>
      </c>
      <c r="I51" s="476">
        <f t="shared" si="18"/>
        <v>0</v>
      </c>
      <c r="J51" s="476"/>
      <c r="K51" s="488"/>
      <c r="L51" s="479">
        <f t="shared" si="19"/>
        <v>0</v>
      </c>
      <c r="M51" s="488"/>
      <c r="N51" s="479">
        <f t="shared" si="20"/>
        <v>0</v>
      </c>
      <c r="O51" s="479">
        <f t="shared" si="21"/>
        <v>0</v>
      </c>
      <c r="P51" s="243"/>
    </row>
    <row r="52" spans="2:16" ht="12.5">
      <c r="B52" s="160" t="str">
        <f t="shared" si="4"/>
        <v/>
      </c>
      <c r="C52" s="473">
        <f>IF(D11="","-",+C51+1)</f>
        <v>2041</v>
      </c>
      <c r="D52" s="486">
        <f>IF(F51+SUM(E$17:E51)=D$10,F51,D$10-SUM(E$17:E51))</f>
        <v>13714.619393303723</v>
      </c>
      <c r="E52" s="485">
        <f>IF(+I14&lt;F51,I14,D52)</f>
        <v>1305.4186046511627</v>
      </c>
      <c r="F52" s="486">
        <f t="shared" si="17"/>
        <v>12409.200788652561</v>
      </c>
      <c r="G52" s="487">
        <f t="shared" si="15"/>
        <v>2808.2741111731684</v>
      </c>
      <c r="H52" s="456">
        <f t="shared" si="16"/>
        <v>2808.2741111731684</v>
      </c>
      <c r="I52" s="476">
        <f t="shared" si="18"/>
        <v>0</v>
      </c>
      <c r="J52" s="476"/>
      <c r="K52" s="488"/>
      <c r="L52" s="479">
        <f t="shared" si="19"/>
        <v>0</v>
      </c>
      <c r="M52" s="488"/>
      <c r="N52" s="479">
        <f t="shared" si="20"/>
        <v>0</v>
      </c>
      <c r="O52" s="479">
        <f t="shared" si="21"/>
        <v>0</v>
      </c>
      <c r="P52" s="243"/>
    </row>
    <row r="53" spans="2:16" ht="12.5">
      <c r="B53" s="160" t="str">
        <f t="shared" si="4"/>
        <v/>
      </c>
      <c r="C53" s="473">
        <f>IF(D11="","-",+C52+1)</f>
        <v>2042</v>
      </c>
      <c r="D53" s="486">
        <f>IF(F52+SUM(E$17:E52)=D$10,F52,D$10-SUM(E$17:E52))</f>
        <v>12409.200788652561</v>
      </c>
      <c r="E53" s="485">
        <f>IF(+I14&lt;F52,I14,D53)</f>
        <v>1305.4186046511627</v>
      </c>
      <c r="F53" s="486">
        <f t="shared" si="17"/>
        <v>11103.782184001398</v>
      </c>
      <c r="G53" s="487">
        <f t="shared" si="15"/>
        <v>2658.0774305459363</v>
      </c>
      <c r="H53" s="456">
        <f t="shared" si="16"/>
        <v>2658.0774305459363</v>
      </c>
      <c r="I53" s="476">
        <f t="shared" si="18"/>
        <v>0</v>
      </c>
      <c r="J53" s="476"/>
      <c r="K53" s="488"/>
      <c r="L53" s="479">
        <f t="shared" si="19"/>
        <v>0</v>
      </c>
      <c r="M53" s="488"/>
      <c r="N53" s="479">
        <f t="shared" si="20"/>
        <v>0</v>
      </c>
      <c r="O53" s="479">
        <f t="shared" si="21"/>
        <v>0</v>
      </c>
      <c r="P53" s="243"/>
    </row>
    <row r="54" spans="2:16" ht="12.5">
      <c r="B54" s="160" t="str">
        <f t="shared" si="4"/>
        <v/>
      </c>
      <c r="C54" s="473">
        <f>IF(D11="","-",+C53+1)</f>
        <v>2043</v>
      </c>
      <c r="D54" s="486">
        <f>IF(F53+SUM(E$17:E53)=D$10,F53,D$10-SUM(E$17:E53))</f>
        <v>11103.782184001398</v>
      </c>
      <c r="E54" s="485">
        <f>IF(+I14&lt;F53,I14,D54)</f>
        <v>1305.4186046511627</v>
      </c>
      <c r="F54" s="486">
        <f t="shared" si="17"/>
        <v>9798.3635793502363</v>
      </c>
      <c r="G54" s="487">
        <f t="shared" si="15"/>
        <v>2507.8807499187033</v>
      </c>
      <c r="H54" s="456">
        <f t="shared" si="16"/>
        <v>2507.8807499187033</v>
      </c>
      <c r="I54" s="476">
        <f t="shared" si="18"/>
        <v>0</v>
      </c>
      <c r="J54" s="476"/>
      <c r="K54" s="488"/>
      <c r="L54" s="479">
        <f t="shared" si="19"/>
        <v>0</v>
      </c>
      <c r="M54" s="488"/>
      <c r="N54" s="479">
        <f t="shared" si="20"/>
        <v>0</v>
      </c>
      <c r="O54" s="479">
        <f t="shared" si="21"/>
        <v>0</v>
      </c>
      <c r="P54" s="243"/>
    </row>
    <row r="55" spans="2:16" ht="12.5">
      <c r="B55" s="160" t="str">
        <f t="shared" si="4"/>
        <v/>
      </c>
      <c r="C55" s="473">
        <f>IF(D11="","-",+C54+1)</f>
        <v>2044</v>
      </c>
      <c r="D55" s="486">
        <f>IF(F54+SUM(E$17:E54)=D$10,F54,D$10-SUM(E$17:E54))</f>
        <v>9798.3635793502363</v>
      </c>
      <c r="E55" s="485">
        <f>IF(+I14&lt;F54,I14,D55)</f>
        <v>1305.4186046511627</v>
      </c>
      <c r="F55" s="486">
        <f t="shared" si="17"/>
        <v>8492.944974699074</v>
      </c>
      <c r="G55" s="487">
        <f t="shared" si="15"/>
        <v>2357.6840692914702</v>
      </c>
      <c r="H55" s="456">
        <f t="shared" si="16"/>
        <v>2357.6840692914702</v>
      </c>
      <c r="I55" s="476">
        <f t="shared" si="18"/>
        <v>0</v>
      </c>
      <c r="J55" s="476"/>
      <c r="K55" s="488"/>
      <c r="L55" s="479">
        <f t="shared" si="19"/>
        <v>0</v>
      </c>
      <c r="M55" s="488"/>
      <c r="N55" s="479">
        <f t="shared" si="20"/>
        <v>0</v>
      </c>
      <c r="O55" s="479">
        <f t="shared" si="21"/>
        <v>0</v>
      </c>
      <c r="P55" s="243"/>
    </row>
    <row r="56" spans="2:16" ht="12.5">
      <c r="B56" s="160" t="str">
        <f t="shared" si="4"/>
        <v/>
      </c>
      <c r="C56" s="473">
        <f>IF(D11="","-",+C55+1)</f>
        <v>2045</v>
      </c>
      <c r="D56" s="486">
        <f>IF(F55+SUM(E$17:E55)=D$10,F55,D$10-SUM(E$17:E55))</f>
        <v>8492.944974699074</v>
      </c>
      <c r="E56" s="485">
        <f>IF(+I14&lt;F55,I14,D56)</f>
        <v>1305.4186046511627</v>
      </c>
      <c r="F56" s="486">
        <f t="shared" si="17"/>
        <v>7187.5263700479118</v>
      </c>
      <c r="G56" s="487">
        <f t="shared" si="15"/>
        <v>2207.4873886642376</v>
      </c>
      <c r="H56" s="456">
        <f t="shared" si="16"/>
        <v>2207.4873886642376</v>
      </c>
      <c r="I56" s="476">
        <f t="shared" si="18"/>
        <v>0</v>
      </c>
      <c r="J56" s="476"/>
      <c r="K56" s="488"/>
      <c r="L56" s="479">
        <f t="shared" si="19"/>
        <v>0</v>
      </c>
      <c r="M56" s="488"/>
      <c r="N56" s="479">
        <f t="shared" si="20"/>
        <v>0</v>
      </c>
      <c r="O56" s="479">
        <f t="shared" si="21"/>
        <v>0</v>
      </c>
      <c r="P56" s="243"/>
    </row>
    <row r="57" spans="2:16" ht="12.5">
      <c r="B57" s="160" t="str">
        <f t="shared" si="4"/>
        <v/>
      </c>
      <c r="C57" s="473">
        <f>IF(D11="","-",+C56+1)</f>
        <v>2046</v>
      </c>
      <c r="D57" s="486">
        <f>IF(F56+SUM(E$17:E56)=D$10,F56,D$10-SUM(E$17:E56))</f>
        <v>7187.5263700479118</v>
      </c>
      <c r="E57" s="485">
        <f>IF(+I14&lt;F56,I14,D57)</f>
        <v>1305.4186046511627</v>
      </c>
      <c r="F57" s="486">
        <f t="shared" si="17"/>
        <v>5882.1077653967495</v>
      </c>
      <c r="G57" s="487">
        <f t="shared" si="15"/>
        <v>2057.2907080370051</v>
      </c>
      <c r="H57" s="456">
        <f t="shared" si="16"/>
        <v>2057.2907080370051</v>
      </c>
      <c r="I57" s="476">
        <f t="shared" si="18"/>
        <v>0</v>
      </c>
      <c r="J57" s="476"/>
      <c r="K57" s="488"/>
      <c r="L57" s="479">
        <f t="shared" si="19"/>
        <v>0</v>
      </c>
      <c r="M57" s="488"/>
      <c r="N57" s="479">
        <f t="shared" si="20"/>
        <v>0</v>
      </c>
      <c r="O57" s="479">
        <f t="shared" si="21"/>
        <v>0</v>
      </c>
      <c r="P57" s="243"/>
    </row>
    <row r="58" spans="2:16" ht="12.5">
      <c r="B58" s="160" t="str">
        <f t="shared" si="4"/>
        <v/>
      </c>
      <c r="C58" s="473">
        <f>IF(D11="","-",+C57+1)</f>
        <v>2047</v>
      </c>
      <c r="D58" s="486">
        <f>IF(F57+SUM(E$17:E57)=D$10,F57,D$10-SUM(E$17:E57))</f>
        <v>5882.1077653967495</v>
      </c>
      <c r="E58" s="485">
        <f>IF(+I14&lt;F57,I14,D58)</f>
        <v>1305.4186046511627</v>
      </c>
      <c r="F58" s="486">
        <f t="shared" si="17"/>
        <v>4576.6891607455873</v>
      </c>
      <c r="G58" s="487">
        <f t="shared" si="15"/>
        <v>1907.094027409772</v>
      </c>
      <c r="H58" s="456">
        <f t="shared" si="16"/>
        <v>1907.094027409772</v>
      </c>
      <c r="I58" s="476">
        <f t="shared" si="18"/>
        <v>0</v>
      </c>
      <c r="J58" s="476"/>
      <c r="K58" s="488"/>
      <c r="L58" s="479">
        <f t="shared" si="19"/>
        <v>0</v>
      </c>
      <c r="M58" s="488"/>
      <c r="N58" s="479">
        <f t="shared" si="20"/>
        <v>0</v>
      </c>
      <c r="O58" s="479">
        <f t="shared" si="21"/>
        <v>0</v>
      </c>
      <c r="P58" s="243"/>
    </row>
    <row r="59" spans="2:16" ht="12.5">
      <c r="B59" s="160" t="str">
        <f t="shared" si="4"/>
        <v/>
      </c>
      <c r="C59" s="473">
        <f>IF(D11="","-",+C58+1)</f>
        <v>2048</v>
      </c>
      <c r="D59" s="486">
        <f>IF(F58+SUM(E$17:E58)=D$10,F58,D$10-SUM(E$17:E58))</f>
        <v>4576.6891607455873</v>
      </c>
      <c r="E59" s="485">
        <f>IF(+I14&lt;F58,I14,D59)</f>
        <v>1305.4186046511627</v>
      </c>
      <c r="F59" s="486">
        <f t="shared" si="17"/>
        <v>3271.2705560944246</v>
      </c>
      <c r="G59" s="487">
        <f t="shared" si="15"/>
        <v>1756.8973467825394</v>
      </c>
      <c r="H59" s="456">
        <f t="shared" si="16"/>
        <v>1756.8973467825394</v>
      </c>
      <c r="I59" s="476">
        <f t="shared" si="18"/>
        <v>0</v>
      </c>
      <c r="J59" s="476"/>
      <c r="K59" s="488"/>
      <c r="L59" s="479">
        <f t="shared" si="19"/>
        <v>0</v>
      </c>
      <c r="M59" s="488"/>
      <c r="N59" s="479">
        <f t="shared" si="20"/>
        <v>0</v>
      </c>
      <c r="O59" s="479">
        <f t="shared" si="21"/>
        <v>0</v>
      </c>
      <c r="P59" s="243"/>
    </row>
    <row r="60" spans="2:16" ht="12.5">
      <c r="B60" s="160" t="str">
        <f t="shared" si="4"/>
        <v/>
      </c>
      <c r="C60" s="473">
        <f>IF(D11="","-",+C59+1)</f>
        <v>2049</v>
      </c>
      <c r="D60" s="486">
        <f>IF(F59+SUM(E$17:E59)=D$10,F59,D$10-SUM(E$17:E59))</f>
        <v>3271.2705560944246</v>
      </c>
      <c r="E60" s="485">
        <f>IF(+I14&lt;F59,I14,D60)</f>
        <v>1305.4186046511627</v>
      </c>
      <c r="F60" s="486">
        <f t="shared" si="17"/>
        <v>1965.8519514432619</v>
      </c>
      <c r="G60" s="487">
        <f t="shared" si="15"/>
        <v>1606.7006661553064</v>
      </c>
      <c r="H60" s="456">
        <f t="shared" si="16"/>
        <v>1606.7006661553064</v>
      </c>
      <c r="I60" s="476">
        <f t="shared" si="18"/>
        <v>0</v>
      </c>
      <c r="J60" s="476"/>
      <c r="K60" s="488"/>
      <c r="L60" s="479">
        <f t="shared" si="19"/>
        <v>0</v>
      </c>
      <c r="M60" s="488"/>
      <c r="N60" s="479">
        <f t="shared" si="20"/>
        <v>0</v>
      </c>
      <c r="O60" s="479">
        <f t="shared" si="21"/>
        <v>0</v>
      </c>
      <c r="P60" s="243"/>
    </row>
    <row r="61" spans="2:16" ht="12.5">
      <c r="B61" s="160" t="str">
        <f t="shared" si="4"/>
        <v/>
      </c>
      <c r="C61" s="473">
        <f>IF(D11="","-",+C60+1)</f>
        <v>2050</v>
      </c>
      <c r="D61" s="486">
        <f>IF(F60+SUM(E$17:E60)=D$10,F60,D$10-SUM(E$17:E60))</f>
        <v>1965.8519514432619</v>
      </c>
      <c r="E61" s="485">
        <f>IF(+I14&lt;F60,I14,D61)</f>
        <v>1305.4186046511627</v>
      </c>
      <c r="F61" s="486">
        <f t="shared" si="17"/>
        <v>660.4333467920992</v>
      </c>
      <c r="G61" s="487">
        <f t="shared" si="15"/>
        <v>1456.5039855280738</v>
      </c>
      <c r="H61" s="456">
        <f t="shared" si="16"/>
        <v>1456.5039855280738</v>
      </c>
      <c r="I61" s="476">
        <f t="shared" si="18"/>
        <v>0</v>
      </c>
      <c r="J61" s="476"/>
      <c r="K61" s="488"/>
      <c r="L61" s="479">
        <f t="shared" si="19"/>
        <v>0</v>
      </c>
      <c r="M61" s="488"/>
      <c r="N61" s="479">
        <f t="shared" si="20"/>
        <v>0</v>
      </c>
      <c r="O61" s="479">
        <f t="shared" si="21"/>
        <v>0</v>
      </c>
      <c r="P61" s="243"/>
    </row>
    <row r="62" spans="2:16" ht="12.5">
      <c r="B62" s="160" t="str">
        <f t="shared" si="4"/>
        <v/>
      </c>
      <c r="C62" s="473">
        <f>IF(D11="","-",+C61+1)</f>
        <v>2051</v>
      </c>
      <c r="D62" s="486">
        <f>IF(F61+SUM(E$17:E61)=D$10,F61,D$10-SUM(E$17:E61))</f>
        <v>660.4333467920992</v>
      </c>
      <c r="E62" s="485">
        <f>IF(+I14&lt;F61,I14,D62)</f>
        <v>660.4333467920992</v>
      </c>
      <c r="F62" s="486">
        <f t="shared" si="17"/>
        <v>0</v>
      </c>
      <c r="G62" s="487">
        <f t="shared" si="15"/>
        <v>698.42686707374651</v>
      </c>
      <c r="H62" s="456">
        <f t="shared" si="16"/>
        <v>698.42686707374651</v>
      </c>
      <c r="I62" s="476">
        <f t="shared" si="18"/>
        <v>0</v>
      </c>
      <c r="J62" s="476"/>
      <c r="K62" s="488"/>
      <c r="L62" s="479">
        <f t="shared" si="19"/>
        <v>0</v>
      </c>
      <c r="M62" s="488"/>
      <c r="N62" s="479">
        <f t="shared" si="20"/>
        <v>0</v>
      </c>
      <c r="O62" s="479">
        <f t="shared" si="21"/>
        <v>0</v>
      </c>
      <c r="P62" s="243"/>
    </row>
    <row r="63" spans="2:16" ht="12.5">
      <c r="B63" s="566" t="str">
        <f t="shared" si="4"/>
        <v/>
      </c>
      <c r="C63" s="473">
        <f>IF(D11="","-",+C62+1)</f>
        <v>2052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7"/>
        <v>0</v>
      </c>
      <c r="G63" s="487">
        <f t="shared" si="15"/>
        <v>0</v>
      </c>
      <c r="H63" s="456">
        <f t="shared" si="16"/>
        <v>0</v>
      </c>
      <c r="I63" s="476">
        <f t="shared" si="18"/>
        <v>0</v>
      </c>
      <c r="J63" s="476"/>
      <c r="K63" s="488"/>
      <c r="L63" s="479">
        <f t="shared" si="19"/>
        <v>0</v>
      </c>
      <c r="M63" s="488"/>
      <c r="N63" s="479">
        <f t="shared" si="20"/>
        <v>0</v>
      </c>
      <c r="O63" s="479">
        <f t="shared" si="21"/>
        <v>0</v>
      </c>
      <c r="P63" s="243"/>
    </row>
    <row r="64" spans="2:16" ht="12.5">
      <c r="B64" s="160" t="str">
        <f t="shared" si="4"/>
        <v/>
      </c>
      <c r="C64" s="473">
        <f>IF(D11="","-",+C63+1)</f>
        <v>2053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7"/>
        <v>0</v>
      </c>
      <c r="G64" s="487">
        <f t="shared" si="15"/>
        <v>0</v>
      </c>
      <c r="H64" s="456">
        <f t="shared" si="16"/>
        <v>0</v>
      </c>
      <c r="I64" s="476">
        <f t="shared" si="18"/>
        <v>0</v>
      </c>
      <c r="J64" s="476"/>
      <c r="K64" s="488"/>
      <c r="L64" s="479">
        <f t="shared" si="19"/>
        <v>0</v>
      </c>
      <c r="M64" s="488"/>
      <c r="N64" s="479">
        <f t="shared" si="20"/>
        <v>0</v>
      </c>
      <c r="O64" s="479">
        <f t="shared" si="21"/>
        <v>0</v>
      </c>
      <c r="P64" s="243"/>
    </row>
    <row r="65" spans="2:16" ht="12.5">
      <c r="B65" s="160" t="str">
        <f t="shared" si="4"/>
        <v/>
      </c>
      <c r="C65" s="473">
        <f>IF(D11="","-",+C64+1)</f>
        <v>2054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7"/>
        <v>0</v>
      </c>
      <c r="G65" s="487">
        <f t="shared" si="15"/>
        <v>0</v>
      </c>
      <c r="H65" s="456">
        <f t="shared" si="16"/>
        <v>0</v>
      </c>
      <c r="I65" s="476">
        <f t="shared" si="18"/>
        <v>0</v>
      </c>
      <c r="J65" s="476"/>
      <c r="K65" s="488"/>
      <c r="L65" s="479">
        <f t="shared" si="19"/>
        <v>0</v>
      </c>
      <c r="M65" s="488"/>
      <c r="N65" s="479">
        <f t="shared" si="20"/>
        <v>0</v>
      </c>
      <c r="O65" s="479">
        <f t="shared" si="21"/>
        <v>0</v>
      </c>
      <c r="P65" s="243"/>
    </row>
    <row r="66" spans="2:16" ht="12.5">
      <c r="B66" s="160" t="str">
        <f t="shared" si="4"/>
        <v/>
      </c>
      <c r="C66" s="473">
        <f>IF(D11="","-",+C65+1)</f>
        <v>2055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7"/>
        <v>0</v>
      </c>
      <c r="G66" s="487">
        <f t="shared" si="15"/>
        <v>0</v>
      </c>
      <c r="H66" s="456">
        <f t="shared" si="16"/>
        <v>0</v>
      </c>
      <c r="I66" s="476">
        <f t="shared" si="18"/>
        <v>0</v>
      </c>
      <c r="J66" s="476"/>
      <c r="K66" s="488"/>
      <c r="L66" s="479">
        <f t="shared" si="19"/>
        <v>0</v>
      </c>
      <c r="M66" s="488"/>
      <c r="N66" s="479">
        <f t="shared" si="20"/>
        <v>0</v>
      </c>
      <c r="O66" s="479">
        <f t="shared" si="21"/>
        <v>0</v>
      </c>
      <c r="P66" s="243"/>
    </row>
    <row r="67" spans="2:16" ht="12.5">
      <c r="B67" s="160" t="str">
        <f t="shared" si="4"/>
        <v/>
      </c>
      <c r="C67" s="473">
        <f>IF(D11="","-",+C66+1)</f>
        <v>2056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7"/>
        <v>0</v>
      </c>
      <c r="G67" s="487">
        <f t="shared" si="15"/>
        <v>0</v>
      </c>
      <c r="H67" s="456">
        <f t="shared" si="16"/>
        <v>0</v>
      </c>
      <c r="I67" s="476">
        <f t="shared" si="18"/>
        <v>0</v>
      </c>
      <c r="J67" s="476"/>
      <c r="K67" s="488"/>
      <c r="L67" s="479">
        <f t="shared" si="19"/>
        <v>0</v>
      </c>
      <c r="M67" s="488"/>
      <c r="N67" s="479">
        <f t="shared" si="20"/>
        <v>0</v>
      </c>
      <c r="O67" s="479">
        <f t="shared" si="21"/>
        <v>0</v>
      </c>
      <c r="P67" s="243"/>
    </row>
    <row r="68" spans="2:16" ht="12.5">
      <c r="B68" s="160" t="str">
        <f t="shared" si="4"/>
        <v/>
      </c>
      <c r="C68" s="473">
        <f>IF(D11="","-",+C67+1)</f>
        <v>2057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7"/>
        <v>0</v>
      </c>
      <c r="G68" s="487">
        <f t="shared" si="15"/>
        <v>0</v>
      </c>
      <c r="H68" s="456">
        <f t="shared" si="16"/>
        <v>0</v>
      </c>
      <c r="I68" s="476">
        <f t="shared" si="18"/>
        <v>0</v>
      </c>
      <c r="J68" s="476"/>
      <c r="K68" s="488"/>
      <c r="L68" s="479">
        <f t="shared" si="19"/>
        <v>0</v>
      </c>
      <c r="M68" s="488"/>
      <c r="N68" s="479">
        <f t="shared" si="20"/>
        <v>0</v>
      </c>
      <c r="O68" s="479">
        <f t="shared" si="21"/>
        <v>0</v>
      </c>
      <c r="P68" s="243"/>
    </row>
    <row r="69" spans="2:16" ht="12.5">
      <c r="B69" s="160" t="str">
        <f t="shared" si="4"/>
        <v/>
      </c>
      <c r="C69" s="473">
        <f>IF(D11="","-",+C68+1)</f>
        <v>2058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7"/>
        <v>0</v>
      </c>
      <c r="G69" s="487">
        <f t="shared" si="15"/>
        <v>0</v>
      </c>
      <c r="H69" s="456">
        <f t="shared" si="16"/>
        <v>0</v>
      </c>
      <c r="I69" s="476">
        <f t="shared" si="18"/>
        <v>0</v>
      </c>
      <c r="J69" s="476"/>
      <c r="K69" s="488"/>
      <c r="L69" s="479">
        <f t="shared" si="19"/>
        <v>0</v>
      </c>
      <c r="M69" s="488"/>
      <c r="N69" s="479">
        <f t="shared" si="20"/>
        <v>0</v>
      </c>
      <c r="O69" s="479">
        <f t="shared" si="21"/>
        <v>0</v>
      </c>
      <c r="P69" s="243"/>
    </row>
    <row r="70" spans="2:16" ht="12.5">
      <c r="B70" s="160" t="str">
        <f t="shared" si="4"/>
        <v/>
      </c>
      <c r="C70" s="473">
        <f>IF(D11="","-",+C69+1)</f>
        <v>2059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7"/>
        <v>0</v>
      </c>
      <c r="G70" s="487">
        <f t="shared" si="15"/>
        <v>0</v>
      </c>
      <c r="H70" s="456">
        <f t="shared" si="16"/>
        <v>0</v>
      </c>
      <c r="I70" s="476">
        <f t="shared" si="18"/>
        <v>0</v>
      </c>
      <c r="J70" s="476"/>
      <c r="K70" s="488"/>
      <c r="L70" s="479">
        <f t="shared" si="19"/>
        <v>0</v>
      </c>
      <c r="M70" s="488"/>
      <c r="N70" s="479">
        <f t="shared" si="20"/>
        <v>0</v>
      </c>
      <c r="O70" s="479">
        <f t="shared" si="21"/>
        <v>0</v>
      </c>
      <c r="P70" s="243"/>
    </row>
    <row r="71" spans="2:16" ht="12.5">
      <c r="B71" s="160" t="str">
        <f t="shared" si="4"/>
        <v/>
      </c>
      <c r="C71" s="473">
        <f>IF(D11="","-",+C70+1)</f>
        <v>2060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7"/>
        <v>0</v>
      </c>
      <c r="G71" s="487">
        <f t="shared" si="15"/>
        <v>0</v>
      </c>
      <c r="H71" s="456">
        <f t="shared" si="16"/>
        <v>0</v>
      </c>
      <c r="I71" s="476">
        <f t="shared" si="18"/>
        <v>0</v>
      </c>
      <c r="J71" s="476"/>
      <c r="K71" s="488"/>
      <c r="L71" s="479">
        <f t="shared" si="19"/>
        <v>0</v>
      </c>
      <c r="M71" s="488"/>
      <c r="N71" s="479">
        <f t="shared" si="20"/>
        <v>0</v>
      </c>
      <c r="O71" s="479">
        <f t="shared" si="21"/>
        <v>0</v>
      </c>
      <c r="P71" s="243"/>
    </row>
    <row r="72" spans="2:16" ht="13" thickBot="1">
      <c r="B72" s="160" t="str">
        <f t="shared" si="4"/>
        <v/>
      </c>
      <c r="C72" s="490">
        <f>IF(D11="","-",+C71+1)</f>
        <v>2061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7"/>
        <v>0</v>
      </c>
      <c r="G72" s="491">
        <f t="shared" si="15"/>
        <v>0</v>
      </c>
      <c r="H72" s="491">
        <f t="shared" si="16"/>
        <v>0</v>
      </c>
      <c r="I72" s="494">
        <f t="shared" si="18"/>
        <v>0</v>
      </c>
      <c r="J72" s="476"/>
      <c r="K72" s="495"/>
      <c r="L72" s="496">
        <f t="shared" si="19"/>
        <v>0</v>
      </c>
      <c r="M72" s="495"/>
      <c r="N72" s="496">
        <f t="shared" si="20"/>
        <v>0</v>
      </c>
      <c r="O72" s="496">
        <f t="shared" si="21"/>
        <v>0</v>
      </c>
      <c r="P72" s="243"/>
    </row>
    <row r="73" spans="2:16" ht="12.5">
      <c r="C73" s="347" t="s">
        <v>77</v>
      </c>
      <c r="D73" s="348"/>
      <c r="E73" s="348">
        <f>SUM(E17:E72)</f>
        <v>56132.999999999985</v>
      </c>
      <c r="F73" s="348"/>
      <c r="G73" s="348">
        <f>SUM(G17:G72)</f>
        <v>191216.8209190924</v>
      </c>
      <c r="H73" s="348">
        <f>SUM(H17:H72)</f>
        <v>191216.8209190924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8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5709.7475035377865</v>
      </c>
      <c r="N87" s="509">
        <f>IF(J92&lt;D11,0,VLOOKUP(J92,C17:O72,11))</f>
        <v>5709.7475035377865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6003.4206157380368</v>
      </c>
      <c r="N88" s="513">
        <f>IF(J92&lt;D11,0,VLOOKUP(J92,C99:P154,7))</f>
        <v>6003.4206157380368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Weleetka &amp; Okmulgee Wavetrap replacement 81-805*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293.67311220025022</v>
      </c>
      <c r="N89" s="518">
        <f>+N88-N87</f>
        <v>293.67311220025022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TP2005046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56133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2006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3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1305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2006</v>
      </c>
      <c r="D99" s="474">
        <v>0</v>
      </c>
      <c r="E99" s="481">
        <v>0</v>
      </c>
      <c r="F99" s="480">
        <v>56133</v>
      </c>
      <c r="G99" s="538">
        <v>28067</v>
      </c>
      <c r="H99" s="539">
        <v>0</v>
      </c>
      <c r="I99" s="540">
        <v>0</v>
      </c>
      <c r="J99" s="479">
        <f t="shared" ref="J99:J130" si="22">+I99-H99</f>
        <v>0</v>
      </c>
      <c r="K99" s="479"/>
      <c r="L99" s="555">
        <v>0</v>
      </c>
      <c r="M99" s="478">
        <f t="shared" ref="M99:M130" si="23">IF(L99&lt;&gt;0,+H99-L99,0)</f>
        <v>0</v>
      </c>
      <c r="N99" s="555">
        <v>0</v>
      </c>
      <c r="O99" s="478">
        <f t="shared" ref="O99:O130" si="24">IF(N99&lt;&gt;0,+I99-N99,0)</f>
        <v>0</v>
      </c>
      <c r="P99" s="478">
        <f t="shared" ref="P99:P130" si="25">+O99-M99</f>
        <v>0</v>
      </c>
    </row>
    <row r="100" spans="1:16" ht="12.5">
      <c r="B100" s="160" t="str">
        <f>IF(D100=F99,"","IU")</f>
        <v/>
      </c>
      <c r="C100" s="473">
        <f>IF(D93="","-",+C99+1)</f>
        <v>2007</v>
      </c>
      <c r="D100" s="474">
        <v>56133</v>
      </c>
      <c r="E100" s="481">
        <v>1059</v>
      </c>
      <c r="F100" s="480">
        <v>55074</v>
      </c>
      <c r="G100" s="480">
        <v>55603</v>
      </c>
      <c r="H100" s="481">
        <v>0</v>
      </c>
      <c r="I100" s="482">
        <v>0</v>
      </c>
      <c r="J100" s="479">
        <f t="shared" si="22"/>
        <v>0</v>
      </c>
      <c r="K100" s="479"/>
      <c r="L100" s="477">
        <v>0</v>
      </c>
      <c r="M100" s="479">
        <f t="shared" si="23"/>
        <v>0</v>
      </c>
      <c r="N100" s="477">
        <v>0</v>
      </c>
      <c r="O100" s="479">
        <f t="shared" si="24"/>
        <v>0</v>
      </c>
      <c r="P100" s="479">
        <f t="shared" si="25"/>
        <v>0</v>
      </c>
    </row>
    <row r="101" spans="1:16" ht="12.5">
      <c r="B101" s="160" t="str">
        <f t="shared" ref="B101:B154" si="26">IF(D101=F100,"","IU")</f>
        <v/>
      </c>
      <c r="C101" s="473">
        <f>IF(D93="","-",+C100+1)</f>
        <v>2008</v>
      </c>
      <c r="D101" s="474">
        <v>55074</v>
      </c>
      <c r="E101" s="481">
        <v>1059</v>
      </c>
      <c r="F101" s="480">
        <v>54015</v>
      </c>
      <c r="G101" s="480">
        <v>54544</v>
      </c>
      <c r="H101" s="481">
        <v>9723</v>
      </c>
      <c r="I101" s="482">
        <v>9723</v>
      </c>
      <c r="J101" s="479">
        <f t="shared" si="22"/>
        <v>0</v>
      </c>
      <c r="K101" s="479"/>
      <c r="L101" s="477">
        <v>9723</v>
      </c>
      <c r="M101" s="479">
        <f t="shared" si="23"/>
        <v>0</v>
      </c>
      <c r="N101" s="477">
        <v>9723</v>
      </c>
      <c r="O101" s="479">
        <f t="shared" si="24"/>
        <v>0</v>
      </c>
      <c r="P101" s="479">
        <f t="shared" si="25"/>
        <v>0</v>
      </c>
    </row>
    <row r="102" spans="1:16" ht="12.5">
      <c r="B102" s="160" t="str">
        <f t="shared" si="26"/>
        <v/>
      </c>
      <c r="C102" s="473">
        <f>IF(D93="","-",+C101+1)</f>
        <v>2009</v>
      </c>
      <c r="D102" s="474">
        <v>54015</v>
      </c>
      <c r="E102" s="481">
        <v>1002</v>
      </c>
      <c r="F102" s="480">
        <v>53013</v>
      </c>
      <c r="G102" s="480">
        <v>53514</v>
      </c>
      <c r="H102" s="481">
        <v>8826.1899911613018</v>
      </c>
      <c r="I102" s="482">
        <v>8826.1899911613018</v>
      </c>
      <c r="J102" s="479">
        <f t="shared" si="22"/>
        <v>0</v>
      </c>
      <c r="K102" s="479"/>
      <c r="L102" s="541">
        <f t="shared" ref="L102:L107" si="27">H102</f>
        <v>8826.1899911613018</v>
      </c>
      <c r="M102" s="542">
        <f t="shared" si="23"/>
        <v>0</v>
      </c>
      <c r="N102" s="541">
        <f t="shared" ref="N102:N107" si="28">I102</f>
        <v>8826.1899911613018</v>
      </c>
      <c r="O102" s="479">
        <f t="shared" si="24"/>
        <v>0</v>
      </c>
      <c r="P102" s="479">
        <f t="shared" si="25"/>
        <v>0</v>
      </c>
    </row>
    <row r="103" spans="1:16" ht="12.5">
      <c r="B103" s="160" t="str">
        <f t="shared" si="26"/>
        <v/>
      </c>
      <c r="C103" s="473">
        <f>IF(D93="","-",+C102+1)</f>
        <v>2010</v>
      </c>
      <c r="D103" s="474">
        <v>53013</v>
      </c>
      <c r="E103" s="481">
        <v>1101</v>
      </c>
      <c r="F103" s="480">
        <v>51912</v>
      </c>
      <c r="G103" s="480">
        <v>52462.5</v>
      </c>
      <c r="H103" s="481">
        <v>9537.7685710444202</v>
      </c>
      <c r="I103" s="482">
        <v>9537.7685710444202</v>
      </c>
      <c r="J103" s="479">
        <f t="shared" si="22"/>
        <v>0</v>
      </c>
      <c r="K103" s="479"/>
      <c r="L103" s="541">
        <f t="shared" si="27"/>
        <v>9537.7685710444202</v>
      </c>
      <c r="M103" s="542">
        <f t="shared" si="23"/>
        <v>0</v>
      </c>
      <c r="N103" s="541">
        <f t="shared" si="28"/>
        <v>9537.7685710444202</v>
      </c>
      <c r="O103" s="479">
        <f t="shared" si="24"/>
        <v>0</v>
      </c>
      <c r="P103" s="479">
        <f t="shared" si="25"/>
        <v>0</v>
      </c>
    </row>
    <row r="104" spans="1:16" ht="12.5">
      <c r="B104" s="160" t="str">
        <f t="shared" si="26"/>
        <v/>
      </c>
      <c r="C104" s="473">
        <f>IF(D93="","-",+C103+1)</f>
        <v>2011</v>
      </c>
      <c r="D104" s="474">
        <v>51912</v>
      </c>
      <c r="E104" s="481">
        <v>1079</v>
      </c>
      <c r="F104" s="480">
        <v>50833</v>
      </c>
      <c r="G104" s="480">
        <v>51372.5</v>
      </c>
      <c r="H104" s="481">
        <v>8261.5658402233203</v>
      </c>
      <c r="I104" s="482">
        <v>8261.5658402233203</v>
      </c>
      <c r="J104" s="479">
        <f t="shared" si="22"/>
        <v>0</v>
      </c>
      <c r="K104" s="479"/>
      <c r="L104" s="541">
        <f t="shared" si="27"/>
        <v>8261.5658402233203</v>
      </c>
      <c r="M104" s="542">
        <f t="shared" si="23"/>
        <v>0</v>
      </c>
      <c r="N104" s="541">
        <f t="shared" si="28"/>
        <v>8261.5658402233203</v>
      </c>
      <c r="O104" s="479">
        <f t="shared" si="24"/>
        <v>0</v>
      </c>
      <c r="P104" s="479">
        <f t="shared" si="25"/>
        <v>0</v>
      </c>
    </row>
    <row r="105" spans="1:16" ht="12.5">
      <c r="B105" s="160" t="str">
        <f t="shared" si="26"/>
        <v/>
      </c>
      <c r="C105" s="473">
        <f>IF(D93="","-",+C104+1)</f>
        <v>2012</v>
      </c>
      <c r="D105" s="474">
        <v>50833</v>
      </c>
      <c r="E105" s="481">
        <v>1079</v>
      </c>
      <c r="F105" s="480">
        <v>49754</v>
      </c>
      <c r="G105" s="480">
        <v>50293.5</v>
      </c>
      <c r="H105" s="481">
        <v>8313.995673781943</v>
      </c>
      <c r="I105" s="482">
        <v>8313.995673781943</v>
      </c>
      <c r="J105" s="479">
        <v>0</v>
      </c>
      <c r="K105" s="479"/>
      <c r="L105" s="541">
        <f t="shared" si="27"/>
        <v>8313.995673781943</v>
      </c>
      <c r="M105" s="542">
        <f t="shared" ref="M105:M110" si="29">IF(L105&lt;&gt;0,+H105-L105,0)</f>
        <v>0</v>
      </c>
      <c r="N105" s="541">
        <f t="shared" si="28"/>
        <v>8313.995673781943</v>
      </c>
      <c r="O105" s="479">
        <f t="shared" ref="O105:O110" si="30">IF(N105&lt;&gt;0,+I105-N105,0)</f>
        <v>0</v>
      </c>
      <c r="P105" s="479">
        <f t="shared" ref="P105:P110" si="31">+O105-M105</f>
        <v>0</v>
      </c>
    </row>
    <row r="106" spans="1:16" ht="12.5">
      <c r="B106" s="160" t="str">
        <f t="shared" si="26"/>
        <v/>
      </c>
      <c r="C106" s="473">
        <f>IF(D93="","-",+C105+1)</f>
        <v>2013</v>
      </c>
      <c r="D106" s="474">
        <v>49754</v>
      </c>
      <c r="E106" s="481">
        <v>1079</v>
      </c>
      <c r="F106" s="480">
        <v>48675</v>
      </c>
      <c r="G106" s="480">
        <v>49214.5</v>
      </c>
      <c r="H106" s="481">
        <v>8162.9151459393179</v>
      </c>
      <c r="I106" s="482">
        <v>8162.9151459393179</v>
      </c>
      <c r="J106" s="479">
        <v>0</v>
      </c>
      <c r="K106" s="479"/>
      <c r="L106" s="541">
        <f t="shared" si="27"/>
        <v>8162.9151459393179</v>
      </c>
      <c r="M106" s="542">
        <f t="shared" si="29"/>
        <v>0</v>
      </c>
      <c r="N106" s="541">
        <f t="shared" si="28"/>
        <v>8162.9151459393179</v>
      </c>
      <c r="O106" s="479">
        <f t="shared" si="30"/>
        <v>0</v>
      </c>
      <c r="P106" s="479">
        <f t="shared" si="31"/>
        <v>0</v>
      </c>
    </row>
    <row r="107" spans="1:16" ht="12.5">
      <c r="B107" s="160" t="str">
        <f t="shared" si="26"/>
        <v/>
      </c>
      <c r="C107" s="473">
        <f>IF(D93="","-",+C106+1)</f>
        <v>2014</v>
      </c>
      <c r="D107" s="474">
        <v>48675</v>
      </c>
      <c r="E107" s="481">
        <v>1079</v>
      </c>
      <c r="F107" s="480">
        <v>47596</v>
      </c>
      <c r="G107" s="480">
        <v>48135.5</v>
      </c>
      <c r="H107" s="481">
        <v>7846.6545337569178</v>
      </c>
      <c r="I107" s="482">
        <v>7846.6545337569178</v>
      </c>
      <c r="J107" s="479">
        <v>0</v>
      </c>
      <c r="K107" s="479"/>
      <c r="L107" s="541">
        <f t="shared" si="27"/>
        <v>7846.6545337569178</v>
      </c>
      <c r="M107" s="542">
        <f t="shared" si="29"/>
        <v>0</v>
      </c>
      <c r="N107" s="541">
        <f t="shared" si="28"/>
        <v>7846.6545337569178</v>
      </c>
      <c r="O107" s="479">
        <f t="shared" si="30"/>
        <v>0</v>
      </c>
      <c r="P107" s="479">
        <f t="shared" si="31"/>
        <v>0</v>
      </c>
    </row>
    <row r="108" spans="1:16" ht="12.5">
      <c r="B108" s="160" t="str">
        <f t="shared" si="26"/>
        <v/>
      </c>
      <c r="C108" s="473">
        <f>IF(D93="","-",+C107+1)</f>
        <v>2015</v>
      </c>
      <c r="D108" s="474">
        <v>47596</v>
      </c>
      <c r="E108" s="481">
        <v>1079</v>
      </c>
      <c r="F108" s="480">
        <v>46517</v>
      </c>
      <c r="G108" s="480">
        <v>47056.5</v>
      </c>
      <c r="H108" s="481">
        <v>7499.4810720950254</v>
      </c>
      <c r="I108" s="482">
        <v>7499.4810720950254</v>
      </c>
      <c r="J108" s="479">
        <f t="shared" si="22"/>
        <v>0</v>
      </c>
      <c r="K108" s="479"/>
      <c r="L108" s="541">
        <f>H108</f>
        <v>7499.4810720950254</v>
      </c>
      <c r="M108" s="542">
        <f t="shared" si="29"/>
        <v>0</v>
      </c>
      <c r="N108" s="541">
        <f>I108</f>
        <v>7499.4810720950254</v>
      </c>
      <c r="O108" s="479">
        <f t="shared" si="30"/>
        <v>0</v>
      </c>
      <c r="P108" s="479">
        <f t="shared" si="31"/>
        <v>0</v>
      </c>
    </row>
    <row r="109" spans="1:16" ht="12.5">
      <c r="B109" s="160" t="str">
        <f t="shared" si="26"/>
        <v/>
      </c>
      <c r="C109" s="473">
        <f>IF(D93="","-",+C108+1)</f>
        <v>2016</v>
      </c>
      <c r="D109" s="474">
        <v>46517</v>
      </c>
      <c r="E109" s="481">
        <v>1220</v>
      </c>
      <c r="F109" s="480">
        <v>45297</v>
      </c>
      <c r="G109" s="480">
        <v>45907</v>
      </c>
      <c r="H109" s="481">
        <v>7138.135283574793</v>
      </c>
      <c r="I109" s="482">
        <v>7138.135283574793</v>
      </c>
      <c r="J109" s="479">
        <f t="shared" si="22"/>
        <v>0</v>
      </c>
      <c r="K109" s="479"/>
      <c r="L109" s="541">
        <f>H109</f>
        <v>7138.135283574793</v>
      </c>
      <c r="M109" s="542">
        <f t="shared" si="29"/>
        <v>0</v>
      </c>
      <c r="N109" s="541">
        <f>I109</f>
        <v>7138.135283574793</v>
      </c>
      <c r="O109" s="479">
        <f t="shared" si="30"/>
        <v>0</v>
      </c>
      <c r="P109" s="479">
        <f t="shared" si="31"/>
        <v>0</v>
      </c>
    </row>
    <row r="110" spans="1:16" ht="12.5">
      <c r="B110" s="160" t="str">
        <f t="shared" si="26"/>
        <v/>
      </c>
      <c r="C110" s="473">
        <f>IF(D93="","-",+C109+1)</f>
        <v>2017</v>
      </c>
      <c r="D110" s="474">
        <v>45297</v>
      </c>
      <c r="E110" s="481">
        <v>1220</v>
      </c>
      <c r="F110" s="480">
        <v>44077</v>
      </c>
      <c r="G110" s="480">
        <v>44687</v>
      </c>
      <c r="H110" s="481">
        <v>6888.6586283105316</v>
      </c>
      <c r="I110" s="482">
        <v>6888.6586283105316</v>
      </c>
      <c r="J110" s="479">
        <f t="shared" si="22"/>
        <v>0</v>
      </c>
      <c r="K110" s="479"/>
      <c r="L110" s="541">
        <f>H110</f>
        <v>6888.6586283105316</v>
      </c>
      <c r="M110" s="542">
        <f t="shared" si="29"/>
        <v>0</v>
      </c>
      <c r="N110" s="541">
        <f>I110</f>
        <v>6888.6586283105316</v>
      </c>
      <c r="O110" s="479">
        <f t="shared" si="30"/>
        <v>0</v>
      </c>
      <c r="P110" s="479">
        <f t="shared" si="31"/>
        <v>0</v>
      </c>
    </row>
    <row r="111" spans="1:16" ht="12.5">
      <c r="B111" s="160" t="str">
        <f t="shared" si="26"/>
        <v/>
      </c>
      <c r="C111" s="473">
        <f>IF(D93="","-",+C110+1)</f>
        <v>2018</v>
      </c>
      <c r="D111" s="474">
        <v>44077</v>
      </c>
      <c r="E111" s="481">
        <v>1305</v>
      </c>
      <c r="F111" s="480">
        <v>42772</v>
      </c>
      <c r="G111" s="480">
        <v>43424.5</v>
      </c>
      <c r="H111" s="481">
        <v>5766.2406216754998</v>
      </c>
      <c r="I111" s="482">
        <v>5766.2406216754998</v>
      </c>
      <c r="J111" s="479">
        <f t="shared" si="22"/>
        <v>0</v>
      </c>
      <c r="K111" s="479"/>
      <c r="L111" s="541">
        <f>H111</f>
        <v>5766.2406216754998</v>
      </c>
      <c r="M111" s="542">
        <f t="shared" ref="M111" si="32">IF(L111&lt;&gt;0,+H111-L111,0)</f>
        <v>0</v>
      </c>
      <c r="N111" s="541">
        <f>I111</f>
        <v>5766.2406216754998</v>
      </c>
      <c r="O111" s="479">
        <f t="shared" ref="O111" si="33">IF(N111&lt;&gt;0,+I111-N111,0)</f>
        <v>0</v>
      </c>
      <c r="P111" s="479">
        <f t="shared" ref="P111" si="34">+O111-M111</f>
        <v>0</v>
      </c>
    </row>
    <row r="112" spans="1:16" ht="12.5">
      <c r="B112" s="160" t="str">
        <f t="shared" si="26"/>
        <v/>
      </c>
      <c r="C112" s="473">
        <f>IF(D93="","-",+C111+1)</f>
        <v>2019</v>
      </c>
      <c r="D112" s="474">
        <v>42772</v>
      </c>
      <c r="E112" s="481">
        <v>1369</v>
      </c>
      <c r="F112" s="480">
        <v>41403</v>
      </c>
      <c r="G112" s="480">
        <v>42087.5</v>
      </c>
      <c r="H112" s="481">
        <v>5708.8115726685282</v>
      </c>
      <c r="I112" s="482">
        <v>5708.8115726685282</v>
      </c>
      <c r="J112" s="479">
        <f t="shared" si="22"/>
        <v>0</v>
      </c>
      <c r="K112" s="479"/>
      <c r="L112" s="541">
        <f>H112</f>
        <v>5708.8115726685282</v>
      </c>
      <c r="M112" s="542">
        <f t="shared" ref="M112" si="35">IF(L112&lt;&gt;0,+H112-L112,0)</f>
        <v>0</v>
      </c>
      <c r="N112" s="541">
        <f>I112</f>
        <v>5708.8115726685282</v>
      </c>
      <c r="O112" s="479">
        <f t="shared" si="24"/>
        <v>0</v>
      </c>
      <c r="P112" s="479">
        <f t="shared" si="25"/>
        <v>0</v>
      </c>
    </row>
    <row r="113" spans="2:16" ht="12.5">
      <c r="B113" s="160" t="str">
        <f t="shared" si="26"/>
        <v/>
      </c>
      <c r="C113" s="473">
        <f>IF(D93="","-",+C112+1)</f>
        <v>2020</v>
      </c>
      <c r="D113" s="347">
        <f>IF(F112+SUM(E$99:E112)=D$92,F112,D$92-SUM(E$99:E112))</f>
        <v>41403</v>
      </c>
      <c r="E113" s="487">
        <f>IF(+J96&lt;F112,J96,D113)</f>
        <v>1305</v>
      </c>
      <c r="F113" s="486">
        <f t="shared" ref="F113:F130" si="36">+D113-E113</f>
        <v>40098</v>
      </c>
      <c r="G113" s="486">
        <f t="shared" ref="G113:G130" si="37">+(F113+D113)/2</f>
        <v>40750.5</v>
      </c>
      <c r="H113" s="487">
        <f>(D113+F113)/2*J$94+E113</f>
        <v>6003.4206157380368</v>
      </c>
      <c r="I113" s="543">
        <f t="shared" ref="I113" si="38">+J$95*G113+E113</f>
        <v>6003.4206157380368</v>
      </c>
      <c r="J113" s="479">
        <f t="shared" si="22"/>
        <v>0</v>
      </c>
      <c r="K113" s="479"/>
      <c r="L113" s="488"/>
      <c r="M113" s="479">
        <f t="shared" si="23"/>
        <v>0</v>
      </c>
      <c r="N113" s="488"/>
      <c r="O113" s="479">
        <f t="shared" si="24"/>
        <v>0</v>
      </c>
      <c r="P113" s="479">
        <f t="shared" si="25"/>
        <v>0</v>
      </c>
    </row>
    <row r="114" spans="2:16" ht="12.5">
      <c r="B114" s="160" t="str">
        <f t="shared" si="26"/>
        <v/>
      </c>
      <c r="C114" s="473">
        <f>IF(D93="","-",+C113+1)</f>
        <v>2021</v>
      </c>
      <c r="D114" s="347">
        <f>IF(F113+SUM(E$99:E113)=D$92,F113,D$92-SUM(E$99:E113))</f>
        <v>40098</v>
      </c>
      <c r="E114" s="487">
        <f>IF(+J96&lt;F113,J96,D114)</f>
        <v>1305</v>
      </c>
      <c r="F114" s="486">
        <f t="shared" si="36"/>
        <v>38793</v>
      </c>
      <c r="G114" s="486">
        <f t="shared" si="37"/>
        <v>39445.5</v>
      </c>
      <c r="H114" s="487">
        <f t="shared" ref="H114:H153" si="39">(D114+F114)/2*J$94+E114</f>
        <v>5852.9577035397042</v>
      </c>
      <c r="I114" s="543">
        <f t="shared" ref="I114:I153" si="40">+J$95*G114+E114</f>
        <v>5852.9577035397042</v>
      </c>
      <c r="J114" s="479">
        <f t="shared" si="22"/>
        <v>0</v>
      </c>
      <c r="K114" s="479"/>
      <c r="L114" s="488"/>
      <c r="M114" s="479">
        <f t="shared" si="23"/>
        <v>0</v>
      </c>
      <c r="N114" s="488"/>
      <c r="O114" s="479">
        <f t="shared" si="24"/>
        <v>0</v>
      </c>
      <c r="P114" s="479">
        <f t="shared" si="25"/>
        <v>0</v>
      </c>
    </row>
    <row r="115" spans="2:16" ht="12.5">
      <c r="B115" s="160" t="str">
        <f t="shared" si="26"/>
        <v/>
      </c>
      <c r="C115" s="473">
        <f>IF(D93="","-",+C114+1)</f>
        <v>2022</v>
      </c>
      <c r="D115" s="347">
        <f>IF(F114+SUM(E$99:E114)=D$92,F114,D$92-SUM(E$99:E114))</f>
        <v>38793</v>
      </c>
      <c r="E115" s="487">
        <f>IF(+J96&lt;F114,J96,D115)</f>
        <v>1305</v>
      </c>
      <c r="F115" s="486">
        <f t="shared" si="36"/>
        <v>37488</v>
      </c>
      <c r="G115" s="486">
        <f t="shared" si="37"/>
        <v>38140.5</v>
      </c>
      <c r="H115" s="487">
        <f t="shared" si="39"/>
        <v>5702.4947913413716</v>
      </c>
      <c r="I115" s="543">
        <f t="shared" si="40"/>
        <v>5702.4947913413716</v>
      </c>
      <c r="J115" s="479">
        <f t="shared" si="22"/>
        <v>0</v>
      </c>
      <c r="K115" s="479"/>
      <c r="L115" s="488"/>
      <c r="M115" s="479">
        <f t="shared" si="23"/>
        <v>0</v>
      </c>
      <c r="N115" s="488"/>
      <c r="O115" s="479">
        <f t="shared" si="24"/>
        <v>0</v>
      </c>
      <c r="P115" s="479">
        <f t="shared" si="25"/>
        <v>0</v>
      </c>
    </row>
    <row r="116" spans="2:16" ht="12.5">
      <c r="B116" s="160" t="str">
        <f t="shared" si="26"/>
        <v/>
      </c>
      <c r="C116" s="473">
        <f>IF(D93="","-",+C115+1)</f>
        <v>2023</v>
      </c>
      <c r="D116" s="347">
        <f>IF(F115+SUM(E$99:E115)=D$92,F115,D$92-SUM(E$99:E115))</f>
        <v>37488</v>
      </c>
      <c r="E116" s="487">
        <f>IF(+J96&lt;F115,J96,D116)</f>
        <v>1305</v>
      </c>
      <c r="F116" s="486">
        <f t="shared" si="36"/>
        <v>36183</v>
      </c>
      <c r="G116" s="486">
        <f t="shared" si="37"/>
        <v>36835.5</v>
      </c>
      <c r="H116" s="487">
        <f t="shared" si="39"/>
        <v>5552.03187914304</v>
      </c>
      <c r="I116" s="543">
        <f t="shared" si="40"/>
        <v>5552.03187914304</v>
      </c>
      <c r="J116" s="479">
        <f t="shared" si="22"/>
        <v>0</v>
      </c>
      <c r="K116" s="479"/>
      <c r="L116" s="488"/>
      <c r="M116" s="479">
        <f t="shared" si="23"/>
        <v>0</v>
      </c>
      <c r="N116" s="488"/>
      <c r="O116" s="479">
        <f t="shared" si="24"/>
        <v>0</v>
      </c>
      <c r="P116" s="479">
        <f t="shared" si="25"/>
        <v>0</v>
      </c>
    </row>
    <row r="117" spans="2:16" ht="12.5">
      <c r="B117" s="160" t="str">
        <f t="shared" si="26"/>
        <v/>
      </c>
      <c r="C117" s="473">
        <f>IF(D93="","-",+C116+1)</f>
        <v>2024</v>
      </c>
      <c r="D117" s="347">
        <f>IF(F116+SUM(E$99:E116)=D$92,F116,D$92-SUM(E$99:E116))</f>
        <v>36183</v>
      </c>
      <c r="E117" s="487">
        <f>IF(+J96&lt;F116,J96,D117)</f>
        <v>1305</v>
      </c>
      <c r="F117" s="486">
        <f t="shared" si="36"/>
        <v>34878</v>
      </c>
      <c r="G117" s="486">
        <f t="shared" si="37"/>
        <v>35530.5</v>
      </c>
      <c r="H117" s="487">
        <f t="shared" si="39"/>
        <v>5401.5689669447074</v>
      </c>
      <c r="I117" s="543">
        <f t="shared" si="40"/>
        <v>5401.5689669447074</v>
      </c>
      <c r="J117" s="479">
        <f t="shared" si="22"/>
        <v>0</v>
      </c>
      <c r="K117" s="479"/>
      <c r="L117" s="488"/>
      <c r="M117" s="479">
        <f t="shared" si="23"/>
        <v>0</v>
      </c>
      <c r="N117" s="488"/>
      <c r="O117" s="479">
        <f t="shared" si="24"/>
        <v>0</v>
      </c>
      <c r="P117" s="479">
        <f t="shared" si="25"/>
        <v>0</v>
      </c>
    </row>
    <row r="118" spans="2:16" ht="12.5">
      <c r="B118" s="160" t="str">
        <f t="shared" si="26"/>
        <v/>
      </c>
      <c r="C118" s="473">
        <f>IF(D93="","-",+C117+1)</f>
        <v>2025</v>
      </c>
      <c r="D118" s="347">
        <f>IF(F117+SUM(E$99:E117)=D$92,F117,D$92-SUM(E$99:E117))</f>
        <v>34878</v>
      </c>
      <c r="E118" s="487">
        <f>IF(+J96&lt;F117,J96,D118)</f>
        <v>1305</v>
      </c>
      <c r="F118" s="486">
        <f t="shared" si="36"/>
        <v>33573</v>
      </c>
      <c r="G118" s="486">
        <f t="shared" si="37"/>
        <v>34225.5</v>
      </c>
      <c r="H118" s="487">
        <f t="shared" si="39"/>
        <v>5251.1060547463749</v>
      </c>
      <c r="I118" s="543">
        <f t="shared" si="40"/>
        <v>5251.1060547463749</v>
      </c>
      <c r="J118" s="479">
        <f t="shared" si="22"/>
        <v>0</v>
      </c>
      <c r="K118" s="479"/>
      <c r="L118" s="488"/>
      <c r="M118" s="479">
        <f t="shared" si="23"/>
        <v>0</v>
      </c>
      <c r="N118" s="488"/>
      <c r="O118" s="479">
        <f t="shared" si="24"/>
        <v>0</v>
      </c>
      <c r="P118" s="479">
        <f t="shared" si="25"/>
        <v>0</v>
      </c>
    </row>
    <row r="119" spans="2:16" ht="12.5">
      <c r="B119" s="160" t="str">
        <f t="shared" si="26"/>
        <v/>
      </c>
      <c r="C119" s="473">
        <f>IF(D93="","-",+C118+1)</f>
        <v>2026</v>
      </c>
      <c r="D119" s="347">
        <f>IF(F118+SUM(E$99:E118)=D$92,F118,D$92-SUM(E$99:E118))</f>
        <v>33573</v>
      </c>
      <c r="E119" s="487">
        <f>IF(+J96&lt;F118,J96,D119)</f>
        <v>1305</v>
      </c>
      <c r="F119" s="486">
        <f t="shared" si="36"/>
        <v>32268</v>
      </c>
      <c r="G119" s="486">
        <f t="shared" si="37"/>
        <v>32920.5</v>
      </c>
      <c r="H119" s="487">
        <f t="shared" si="39"/>
        <v>5100.6431425480432</v>
      </c>
      <c r="I119" s="543">
        <f t="shared" si="40"/>
        <v>5100.6431425480432</v>
      </c>
      <c r="J119" s="479">
        <f t="shared" si="22"/>
        <v>0</v>
      </c>
      <c r="K119" s="479"/>
      <c r="L119" s="488"/>
      <c r="M119" s="479">
        <f t="shared" si="23"/>
        <v>0</v>
      </c>
      <c r="N119" s="488"/>
      <c r="O119" s="479">
        <f t="shared" si="24"/>
        <v>0</v>
      </c>
      <c r="P119" s="479">
        <f t="shared" si="25"/>
        <v>0</v>
      </c>
    </row>
    <row r="120" spans="2:16" ht="12.5">
      <c r="B120" s="160" t="str">
        <f t="shared" si="26"/>
        <v/>
      </c>
      <c r="C120" s="473">
        <f>IF(D93="","-",+C119+1)</f>
        <v>2027</v>
      </c>
      <c r="D120" s="347">
        <f>IF(F119+SUM(E$99:E119)=D$92,F119,D$92-SUM(E$99:E119))</f>
        <v>32268</v>
      </c>
      <c r="E120" s="487">
        <f>IF(+J96&lt;F119,J96,D120)</f>
        <v>1305</v>
      </c>
      <c r="F120" s="486">
        <f t="shared" si="36"/>
        <v>30963</v>
      </c>
      <c r="G120" s="486">
        <f t="shared" si="37"/>
        <v>31615.5</v>
      </c>
      <c r="H120" s="487">
        <f t="shared" si="39"/>
        <v>4950.1802303497107</v>
      </c>
      <c r="I120" s="543">
        <f t="shared" si="40"/>
        <v>4950.1802303497107</v>
      </c>
      <c r="J120" s="479">
        <f t="shared" si="22"/>
        <v>0</v>
      </c>
      <c r="K120" s="479"/>
      <c r="L120" s="488"/>
      <c r="M120" s="479">
        <f t="shared" si="23"/>
        <v>0</v>
      </c>
      <c r="N120" s="488"/>
      <c r="O120" s="479">
        <f t="shared" si="24"/>
        <v>0</v>
      </c>
      <c r="P120" s="479">
        <f t="shared" si="25"/>
        <v>0</v>
      </c>
    </row>
    <row r="121" spans="2:16" ht="12.5">
      <c r="B121" s="160" t="str">
        <f t="shared" si="26"/>
        <v/>
      </c>
      <c r="C121" s="473">
        <f>IF(D93="","-",+C120+1)</f>
        <v>2028</v>
      </c>
      <c r="D121" s="347">
        <f>IF(F120+SUM(E$99:E120)=D$92,F120,D$92-SUM(E$99:E120))</f>
        <v>30963</v>
      </c>
      <c r="E121" s="487">
        <f>IF(+J96&lt;F120,J96,D121)</f>
        <v>1305</v>
      </c>
      <c r="F121" s="486">
        <f t="shared" si="36"/>
        <v>29658</v>
      </c>
      <c r="G121" s="486">
        <f t="shared" si="37"/>
        <v>30310.5</v>
      </c>
      <c r="H121" s="487">
        <f t="shared" si="39"/>
        <v>4799.717318151379</v>
      </c>
      <c r="I121" s="543">
        <f t="shared" si="40"/>
        <v>4799.717318151379</v>
      </c>
      <c r="J121" s="479">
        <f t="shared" si="22"/>
        <v>0</v>
      </c>
      <c r="K121" s="479"/>
      <c r="L121" s="488"/>
      <c r="M121" s="479">
        <f t="shared" si="23"/>
        <v>0</v>
      </c>
      <c r="N121" s="488"/>
      <c r="O121" s="479">
        <f t="shared" si="24"/>
        <v>0</v>
      </c>
      <c r="P121" s="479">
        <f t="shared" si="25"/>
        <v>0</v>
      </c>
    </row>
    <row r="122" spans="2:16" ht="12.5">
      <c r="B122" s="160" t="str">
        <f t="shared" si="26"/>
        <v/>
      </c>
      <c r="C122" s="473">
        <f>IF(D93="","-",+C121+1)</f>
        <v>2029</v>
      </c>
      <c r="D122" s="347">
        <f>IF(F121+SUM(E$99:E121)=D$92,F121,D$92-SUM(E$99:E121))</f>
        <v>29658</v>
      </c>
      <c r="E122" s="487">
        <f>IF(+J96&lt;F121,J96,D122)</f>
        <v>1305</v>
      </c>
      <c r="F122" s="486">
        <f t="shared" si="36"/>
        <v>28353</v>
      </c>
      <c r="G122" s="486">
        <f t="shared" si="37"/>
        <v>29005.5</v>
      </c>
      <c r="H122" s="487">
        <f t="shared" si="39"/>
        <v>4649.2544059530464</v>
      </c>
      <c r="I122" s="543">
        <f t="shared" si="40"/>
        <v>4649.2544059530464</v>
      </c>
      <c r="J122" s="479">
        <f t="shared" si="22"/>
        <v>0</v>
      </c>
      <c r="K122" s="479"/>
      <c r="L122" s="488"/>
      <c r="M122" s="479">
        <f t="shared" si="23"/>
        <v>0</v>
      </c>
      <c r="N122" s="488"/>
      <c r="O122" s="479">
        <f t="shared" si="24"/>
        <v>0</v>
      </c>
      <c r="P122" s="479">
        <f t="shared" si="25"/>
        <v>0</v>
      </c>
    </row>
    <row r="123" spans="2:16" ht="12.5">
      <c r="B123" s="160" t="str">
        <f t="shared" si="26"/>
        <v/>
      </c>
      <c r="C123" s="473">
        <f>IF(D93="","-",+C122+1)</f>
        <v>2030</v>
      </c>
      <c r="D123" s="347">
        <f>IF(F122+SUM(E$99:E122)=D$92,F122,D$92-SUM(E$99:E122))</f>
        <v>28353</v>
      </c>
      <c r="E123" s="487">
        <f>IF(+J96&lt;F122,J96,D123)</f>
        <v>1305</v>
      </c>
      <c r="F123" s="486">
        <f t="shared" si="36"/>
        <v>27048</v>
      </c>
      <c r="G123" s="486">
        <f t="shared" si="37"/>
        <v>27700.5</v>
      </c>
      <c r="H123" s="487">
        <f t="shared" si="39"/>
        <v>4498.7914937547139</v>
      </c>
      <c r="I123" s="543">
        <f t="shared" si="40"/>
        <v>4498.7914937547139</v>
      </c>
      <c r="J123" s="479">
        <f t="shared" si="22"/>
        <v>0</v>
      </c>
      <c r="K123" s="479"/>
      <c r="L123" s="488"/>
      <c r="M123" s="479">
        <f t="shared" si="23"/>
        <v>0</v>
      </c>
      <c r="N123" s="488"/>
      <c r="O123" s="479">
        <f t="shared" si="24"/>
        <v>0</v>
      </c>
      <c r="P123" s="479">
        <f t="shared" si="25"/>
        <v>0</v>
      </c>
    </row>
    <row r="124" spans="2:16" ht="12.5">
      <c r="B124" s="160" t="str">
        <f t="shared" si="26"/>
        <v/>
      </c>
      <c r="C124" s="473">
        <f>IF(D93="","-",+C123+1)</f>
        <v>2031</v>
      </c>
      <c r="D124" s="347">
        <f>IF(F123+SUM(E$99:E123)=D$92,F123,D$92-SUM(E$99:E123))</f>
        <v>27048</v>
      </c>
      <c r="E124" s="487">
        <f>IF(+J96&lt;F123,J96,D124)</f>
        <v>1305</v>
      </c>
      <c r="F124" s="486">
        <f t="shared" si="36"/>
        <v>25743</v>
      </c>
      <c r="G124" s="486">
        <f t="shared" si="37"/>
        <v>26395.5</v>
      </c>
      <c r="H124" s="487">
        <f t="shared" si="39"/>
        <v>4348.3285815563813</v>
      </c>
      <c r="I124" s="543">
        <f t="shared" si="40"/>
        <v>4348.3285815563813</v>
      </c>
      <c r="J124" s="479">
        <f t="shared" si="22"/>
        <v>0</v>
      </c>
      <c r="K124" s="479"/>
      <c r="L124" s="488"/>
      <c r="M124" s="479">
        <f t="shared" si="23"/>
        <v>0</v>
      </c>
      <c r="N124" s="488"/>
      <c r="O124" s="479">
        <f t="shared" si="24"/>
        <v>0</v>
      </c>
      <c r="P124" s="479">
        <f t="shared" si="25"/>
        <v>0</v>
      </c>
    </row>
    <row r="125" spans="2:16" ht="12.5">
      <c r="B125" s="160" t="str">
        <f t="shared" si="26"/>
        <v/>
      </c>
      <c r="C125" s="473">
        <f>IF(D93="","-",+C124+1)</f>
        <v>2032</v>
      </c>
      <c r="D125" s="347">
        <f>IF(F124+SUM(E$99:E124)=D$92,F124,D$92-SUM(E$99:E124))</f>
        <v>25743</v>
      </c>
      <c r="E125" s="487">
        <f>IF(+J96&lt;F124,J96,D125)</f>
        <v>1305</v>
      </c>
      <c r="F125" s="486">
        <f t="shared" si="36"/>
        <v>24438</v>
      </c>
      <c r="G125" s="486">
        <f t="shared" si="37"/>
        <v>25090.5</v>
      </c>
      <c r="H125" s="487">
        <f t="shared" si="39"/>
        <v>4197.8656693580497</v>
      </c>
      <c r="I125" s="543">
        <f t="shared" si="40"/>
        <v>4197.8656693580497</v>
      </c>
      <c r="J125" s="479">
        <f t="shared" si="22"/>
        <v>0</v>
      </c>
      <c r="K125" s="479"/>
      <c r="L125" s="488"/>
      <c r="M125" s="479">
        <f t="shared" si="23"/>
        <v>0</v>
      </c>
      <c r="N125" s="488"/>
      <c r="O125" s="479">
        <f t="shared" si="24"/>
        <v>0</v>
      </c>
      <c r="P125" s="479">
        <f t="shared" si="25"/>
        <v>0</v>
      </c>
    </row>
    <row r="126" spans="2:16" ht="12.5">
      <c r="B126" s="160" t="str">
        <f t="shared" si="26"/>
        <v/>
      </c>
      <c r="C126" s="473">
        <f>IF(D93="","-",+C125+1)</f>
        <v>2033</v>
      </c>
      <c r="D126" s="347">
        <f>IF(F125+SUM(E$99:E125)=D$92,F125,D$92-SUM(E$99:E125))</f>
        <v>24438</v>
      </c>
      <c r="E126" s="487">
        <f>IF(+J96&lt;F125,J96,D126)</f>
        <v>1305</v>
      </c>
      <c r="F126" s="486">
        <f t="shared" si="36"/>
        <v>23133</v>
      </c>
      <c r="G126" s="486">
        <f t="shared" si="37"/>
        <v>23785.5</v>
      </c>
      <c r="H126" s="487">
        <f t="shared" si="39"/>
        <v>4047.4027571597176</v>
      </c>
      <c r="I126" s="543">
        <f t="shared" si="40"/>
        <v>4047.4027571597176</v>
      </c>
      <c r="J126" s="479">
        <f t="shared" si="22"/>
        <v>0</v>
      </c>
      <c r="K126" s="479"/>
      <c r="L126" s="488"/>
      <c r="M126" s="479">
        <f t="shared" si="23"/>
        <v>0</v>
      </c>
      <c r="N126" s="488"/>
      <c r="O126" s="479">
        <f t="shared" si="24"/>
        <v>0</v>
      </c>
      <c r="P126" s="479">
        <f t="shared" si="25"/>
        <v>0</v>
      </c>
    </row>
    <row r="127" spans="2:16" ht="12.5">
      <c r="B127" s="160" t="str">
        <f t="shared" si="26"/>
        <v/>
      </c>
      <c r="C127" s="473">
        <f>IF(D93="","-",+C126+1)</f>
        <v>2034</v>
      </c>
      <c r="D127" s="347">
        <f>IF(F126+SUM(E$99:E126)=D$92,F126,D$92-SUM(E$99:E126))</f>
        <v>23133</v>
      </c>
      <c r="E127" s="487">
        <f>IF(+J96&lt;F126,J96,D127)</f>
        <v>1305</v>
      </c>
      <c r="F127" s="486">
        <f t="shared" si="36"/>
        <v>21828</v>
      </c>
      <c r="G127" s="486">
        <f t="shared" si="37"/>
        <v>22480.5</v>
      </c>
      <c r="H127" s="487">
        <f t="shared" si="39"/>
        <v>3896.939844961385</v>
      </c>
      <c r="I127" s="543">
        <f t="shared" si="40"/>
        <v>3896.939844961385</v>
      </c>
      <c r="J127" s="479">
        <f t="shared" si="22"/>
        <v>0</v>
      </c>
      <c r="K127" s="479"/>
      <c r="L127" s="488"/>
      <c r="M127" s="479">
        <f t="shared" si="23"/>
        <v>0</v>
      </c>
      <c r="N127" s="488"/>
      <c r="O127" s="479">
        <f t="shared" si="24"/>
        <v>0</v>
      </c>
      <c r="P127" s="479">
        <f t="shared" si="25"/>
        <v>0</v>
      </c>
    </row>
    <row r="128" spans="2:16" ht="12.5">
      <c r="B128" s="160" t="str">
        <f t="shared" si="26"/>
        <v/>
      </c>
      <c r="C128" s="473">
        <f>IF(D93="","-",+C127+1)</f>
        <v>2035</v>
      </c>
      <c r="D128" s="347">
        <f>IF(F127+SUM(E$99:E127)=D$92,F127,D$92-SUM(E$99:E127))</f>
        <v>21828</v>
      </c>
      <c r="E128" s="487">
        <f>IF(+J96&lt;F127,J96,D128)</f>
        <v>1305</v>
      </c>
      <c r="F128" s="486">
        <f t="shared" si="36"/>
        <v>20523</v>
      </c>
      <c r="G128" s="486">
        <f t="shared" si="37"/>
        <v>21175.5</v>
      </c>
      <c r="H128" s="487">
        <f t="shared" si="39"/>
        <v>3746.4769327630529</v>
      </c>
      <c r="I128" s="543">
        <f t="shared" si="40"/>
        <v>3746.4769327630529</v>
      </c>
      <c r="J128" s="479">
        <f t="shared" si="22"/>
        <v>0</v>
      </c>
      <c r="K128" s="479"/>
      <c r="L128" s="488"/>
      <c r="M128" s="479">
        <f t="shared" si="23"/>
        <v>0</v>
      </c>
      <c r="N128" s="488"/>
      <c r="O128" s="479">
        <f t="shared" si="24"/>
        <v>0</v>
      </c>
      <c r="P128" s="479">
        <f t="shared" si="25"/>
        <v>0</v>
      </c>
    </row>
    <row r="129" spans="2:16" ht="12.5">
      <c r="B129" s="160" t="str">
        <f t="shared" si="26"/>
        <v/>
      </c>
      <c r="C129" s="473">
        <f>IF(D93="","-",+C128+1)</f>
        <v>2036</v>
      </c>
      <c r="D129" s="347">
        <f>IF(F128+SUM(E$99:E128)=D$92,F128,D$92-SUM(E$99:E128))</f>
        <v>20523</v>
      </c>
      <c r="E129" s="487">
        <f>IF(+J96&lt;F128,J96,D129)</f>
        <v>1305</v>
      </c>
      <c r="F129" s="486">
        <f t="shared" si="36"/>
        <v>19218</v>
      </c>
      <c r="G129" s="486">
        <f t="shared" si="37"/>
        <v>19870.5</v>
      </c>
      <c r="H129" s="487">
        <f t="shared" si="39"/>
        <v>3596.0140205647208</v>
      </c>
      <c r="I129" s="543">
        <f t="shared" si="40"/>
        <v>3596.0140205647208</v>
      </c>
      <c r="J129" s="479">
        <f t="shared" si="22"/>
        <v>0</v>
      </c>
      <c r="K129" s="479"/>
      <c r="L129" s="488"/>
      <c r="M129" s="479">
        <f t="shared" si="23"/>
        <v>0</v>
      </c>
      <c r="N129" s="488"/>
      <c r="O129" s="479">
        <f t="shared" si="24"/>
        <v>0</v>
      </c>
      <c r="P129" s="479">
        <f t="shared" si="25"/>
        <v>0</v>
      </c>
    </row>
    <row r="130" spans="2:16" ht="12.5">
      <c r="B130" s="160" t="str">
        <f t="shared" si="26"/>
        <v/>
      </c>
      <c r="C130" s="473">
        <f>IF(D93="","-",+C129+1)</f>
        <v>2037</v>
      </c>
      <c r="D130" s="347">
        <f>IF(F129+SUM(E$99:E129)=D$92,F129,D$92-SUM(E$99:E129))</f>
        <v>19218</v>
      </c>
      <c r="E130" s="487">
        <f>IF(+J96&lt;F129,J96,D130)</f>
        <v>1305</v>
      </c>
      <c r="F130" s="486">
        <f t="shared" si="36"/>
        <v>17913</v>
      </c>
      <c r="G130" s="486">
        <f t="shared" si="37"/>
        <v>18565.5</v>
      </c>
      <c r="H130" s="487">
        <f t="shared" si="39"/>
        <v>3445.5511083663887</v>
      </c>
      <c r="I130" s="543">
        <f t="shared" si="40"/>
        <v>3445.5511083663887</v>
      </c>
      <c r="J130" s="479">
        <f t="shared" si="22"/>
        <v>0</v>
      </c>
      <c r="K130" s="479"/>
      <c r="L130" s="488"/>
      <c r="M130" s="479">
        <f t="shared" si="23"/>
        <v>0</v>
      </c>
      <c r="N130" s="488"/>
      <c r="O130" s="479">
        <f t="shared" si="24"/>
        <v>0</v>
      </c>
      <c r="P130" s="479">
        <f t="shared" si="25"/>
        <v>0</v>
      </c>
    </row>
    <row r="131" spans="2:16" ht="12.5">
      <c r="B131" s="160" t="str">
        <f t="shared" si="26"/>
        <v/>
      </c>
      <c r="C131" s="473">
        <f>IF(D93="","-",+C130+1)</f>
        <v>2038</v>
      </c>
      <c r="D131" s="347">
        <f>IF(F130+SUM(E$99:E130)=D$92,F130,D$92-SUM(E$99:E130))</f>
        <v>17913</v>
      </c>
      <c r="E131" s="487">
        <f>IF(+J96&lt;F130,J96,D131)</f>
        <v>1305</v>
      </c>
      <c r="F131" s="486">
        <f t="shared" ref="F131:F154" si="41">+D131-E131</f>
        <v>16608</v>
      </c>
      <c r="G131" s="486">
        <f t="shared" ref="G131:G154" si="42">+(F131+D131)/2</f>
        <v>17260.5</v>
      </c>
      <c r="H131" s="487">
        <f t="shared" si="39"/>
        <v>3295.0881961680561</v>
      </c>
      <c r="I131" s="543">
        <f t="shared" si="40"/>
        <v>3295.0881961680561</v>
      </c>
      <c r="J131" s="479">
        <f t="shared" ref="J131:J154" si="43">+I131-H131</f>
        <v>0</v>
      </c>
      <c r="K131" s="479"/>
      <c r="L131" s="488"/>
      <c r="M131" s="479">
        <f t="shared" ref="M131:M154" si="44">IF(L131&lt;&gt;0,+H131-L131,0)</f>
        <v>0</v>
      </c>
      <c r="N131" s="488"/>
      <c r="O131" s="479">
        <f t="shared" ref="O131:O154" si="45">IF(N131&lt;&gt;0,+I131-N131,0)</f>
        <v>0</v>
      </c>
      <c r="P131" s="479">
        <f t="shared" ref="P131:P154" si="46">+O131-M131</f>
        <v>0</v>
      </c>
    </row>
    <row r="132" spans="2:16" ht="12.5">
      <c r="B132" s="160" t="str">
        <f t="shared" si="26"/>
        <v/>
      </c>
      <c r="C132" s="473">
        <f>IF(D93="","-",+C131+1)</f>
        <v>2039</v>
      </c>
      <c r="D132" s="347">
        <f>IF(F131+SUM(E$99:E131)=D$92,F131,D$92-SUM(E$99:E131))</f>
        <v>16608</v>
      </c>
      <c r="E132" s="487">
        <f>IF(+J96&lt;F131,J96,D132)</f>
        <v>1305</v>
      </c>
      <c r="F132" s="486">
        <f t="shared" si="41"/>
        <v>15303</v>
      </c>
      <c r="G132" s="486">
        <f t="shared" si="42"/>
        <v>15955.5</v>
      </c>
      <c r="H132" s="487">
        <f t="shared" si="39"/>
        <v>3144.625283969724</v>
      </c>
      <c r="I132" s="543">
        <f t="shared" si="40"/>
        <v>3144.625283969724</v>
      </c>
      <c r="J132" s="479">
        <f t="shared" si="43"/>
        <v>0</v>
      </c>
      <c r="K132" s="479"/>
      <c r="L132" s="488"/>
      <c r="M132" s="479">
        <f t="shared" si="44"/>
        <v>0</v>
      </c>
      <c r="N132" s="488"/>
      <c r="O132" s="479">
        <f t="shared" si="45"/>
        <v>0</v>
      </c>
      <c r="P132" s="479">
        <f t="shared" si="46"/>
        <v>0</v>
      </c>
    </row>
    <row r="133" spans="2:16" ht="12.5">
      <c r="B133" s="160" t="str">
        <f t="shared" si="26"/>
        <v/>
      </c>
      <c r="C133" s="473">
        <f>IF(D93="","-",+C132+1)</f>
        <v>2040</v>
      </c>
      <c r="D133" s="347">
        <f>IF(F132+SUM(E$99:E132)=D$92,F132,D$92-SUM(E$99:E132))</f>
        <v>15303</v>
      </c>
      <c r="E133" s="487">
        <f>IF(+J96&lt;F132,J96,D133)</f>
        <v>1305</v>
      </c>
      <c r="F133" s="486">
        <f t="shared" si="41"/>
        <v>13998</v>
      </c>
      <c r="G133" s="486">
        <f t="shared" si="42"/>
        <v>14650.5</v>
      </c>
      <c r="H133" s="487">
        <f t="shared" si="39"/>
        <v>2994.1623717713919</v>
      </c>
      <c r="I133" s="543">
        <f t="shared" si="40"/>
        <v>2994.1623717713919</v>
      </c>
      <c r="J133" s="479">
        <f t="shared" si="43"/>
        <v>0</v>
      </c>
      <c r="K133" s="479"/>
      <c r="L133" s="488"/>
      <c r="M133" s="479">
        <f t="shared" si="44"/>
        <v>0</v>
      </c>
      <c r="N133" s="488"/>
      <c r="O133" s="479">
        <f t="shared" si="45"/>
        <v>0</v>
      </c>
      <c r="P133" s="479">
        <f t="shared" si="46"/>
        <v>0</v>
      </c>
    </row>
    <row r="134" spans="2:16" ht="12.5">
      <c r="B134" s="160" t="str">
        <f t="shared" si="26"/>
        <v/>
      </c>
      <c r="C134" s="473">
        <f>IF(D93="","-",+C133+1)</f>
        <v>2041</v>
      </c>
      <c r="D134" s="347">
        <f>IF(F133+SUM(E$99:E133)=D$92,F133,D$92-SUM(E$99:E133))</f>
        <v>13998</v>
      </c>
      <c r="E134" s="487">
        <f>IF(+J96&lt;F133,J96,D134)</f>
        <v>1305</v>
      </c>
      <c r="F134" s="486">
        <f t="shared" si="41"/>
        <v>12693</v>
      </c>
      <c r="G134" s="486">
        <f t="shared" si="42"/>
        <v>13345.5</v>
      </c>
      <c r="H134" s="487">
        <f t="shared" si="39"/>
        <v>2843.6994595730594</v>
      </c>
      <c r="I134" s="543">
        <f t="shared" si="40"/>
        <v>2843.6994595730594</v>
      </c>
      <c r="J134" s="479">
        <f t="shared" si="43"/>
        <v>0</v>
      </c>
      <c r="K134" s="479"/>
      <c r="L134" s="488"/>
      <c r="M134" s="479">
        <f t="shared" si="44"/>
        <v>0</v>
      </c>
      <c r="N134" s="488"/>
      <c r="O134" s="479">
        <f t="shared" si="45"/>
        <v>0</v>
      </c>
      <c r="P134" s="479">
        <f t="shared" si="46"/>
        <v>0</v>
      </c>
    </row>
    <row r="135" spans="2:16" ht="12.5">
      <c r="B135" s="160" t="str">
        <f t="shared" si="26"/>
        <v/>
      </c>
      <c r="C135" s="473">
        <f>IF(D93="","-",+C134+1)</f>
        <v>2042</v>
      </c>
      <c r="D135" s="347">
        <f>IF(F134+SUM(E$99:E134)=D$92,F134,D$92-SUM(E$99:E134))</f>
        <v>12693</v>
      </c>
      <c r="E135" s="487">
        <f>IF(+J96&lt;F134,J96,D135)</f>
        <v>1305</v>
      </c>
      <c r="F135" s="486">
        <f t="shared" si="41"/>
        <v>11388</v>
      </c>
      <c r="G135" s="486">
        <f t="shared" si="42"/>
        <v>12040.5</v>
      </c>
      <c r="H135" s="487">
        <f t="shared" si="39"/>
        <v>2693.2365473747273</v>
      </c>
      <c r="I135" s="543">
        <f t="shared" si="40"/>
        <v>2693.2365473747273</v>
      </c>
      <c r="J135" s="479">
        <f t="shared" si="43"/>
        <v>0</v>
      </c>
      <c r="K135" s="479"/>
      <c r="L135" s="488"/>
      <c r="M135" s="479">
        <f t="shared" si="44"/>
        <v>0</v>
      </c>
      <c r="N135" s="488"/>
      <c r="O135" s="479">
        <f t="shared" si="45"/>
        <v>0</v>
      </c>
      <c r="P135" s="479">
        <f t="shared" si="46"/>
        <v>0</v>
      </c>
    </row>
    <row r="136" spans="2:16" ht="12.5">
      <c r="B136" s="160" t="str">
        <f t="shared" si="26"/>
        <v/>
      </c>
      <c r="C136" s="473">
        <f>IF(D93="","-",+C135+1)</f>
        <v>2043</v>
      </c>
      <c r="D136" s="347">
        <f>IF(F135+SUM(E$99:E135)=D$92,F135,D$92-SUM(E$99:E135))</f>
        <v>11388</v>
      </c>
      <c r="E136" s="487">
        <f>IF(+J96&lt;F135,J96,D136)</f>
        <v>1305</v>
      </c>
      <c r="F136" s="486">
        <f t="shared" si="41"/>
        <v>10083</v>
      </c>
      <c r="G136" s="486">
        <f t="shared" si="42"/>
        <v>10735.5</v>
      </c>
      <c r="H136" s="487">
        <f t="shared" si="39"/>
        <v>2542.7736351763951</v>
      </c>
      <c r="I136" s="543">
        <f t="shared" si="40"/>
        <v>2542.7736351763951</v>
      </c>
      <c r="J136" s="479">
        <f t="shared" si="43"/>
        <v>0</v>
      </c>
      <c r="K136" s="479"/>
      <c r="L136" s="488"/>
      <c r="M136" s="479">
        <f t="shared" si="44"/>
        <v>0</v>
      </c>
      <c r="N136" s="488"/>
      <c r="O136" s="479">
        <f t="shared" si="45"/>
        <v>0</v>
      </c>
      <c r="P136" s="479">
        <f t="shared" si="46"/>
        <v>0</v>
      </c>
    </row>
    <row r="137" spans="2:16" ht="12.5">
      <c r="B137" s="160" t="str">
        <f t="shared" si="26"/>
        <v/>
      </c>
      <c r="C137" s="473">
        <f>IF(D93="","-",+C136+1)</f>
        <v>2044</v>
      </c>
      <c r="D137" s="347">
        <f>IF(F136+SUM(E$99:E136)=D$92,F136,D$92-SUM(E$99:E136))</f>
        <v>10083</v>
      </c>
      <c r="E137" s="487">
        <f>IF(+J96&lt;F136,J96,D137)</f>
        <v>1305</v>
      </c>
      <c r="F137" s="486">
        <f t="shared" si="41"/>
        <v>8778</v>
      </c>
      <c r="G137" s="486">
        <f t="shared" si="42"/>
        <v>9430.5</v>
      </c>
      <c r="H137" s="487">
        <f t="shared" si="39"/>
        <v>2392.3107229780626</v>
      </c>
      <c r="I137" s="543">
        <f t="shared" si="40"/>
        <v>2392.3107229780626</v>
      </c>
      <c r="J137" s="479">
        <f t="shared" si="43"/>
        <v>0</v>
      </c>
      <c r="K137" s="479"/>
      <c r="L137" s="488"/>
      <c r="M137" s="479">
        <f t="shared" si="44"/>
        <v>0</v>
      </c>
      <c r="N137" s="488"/>
      <c r="O137" s="479">
        <f t="shared" si="45"/>
        <v>0</v>
      </c>
      <c r="P137" s="479">
        <f t="shared" si="46"/>
        <v>0</v>
      </c>
    </row>
    <row r="138" spans="2:16" ht="12.5">
      <c r="B138" s="160" t="str">
        <f t="shared" si="26"/>
        <v/>
      </c>
      <c r="C138" s="473">
        <f>IF(D93="","-",+C137+1)</f>
        <v>2045</v>
      </c>
      <c r="D138" s="347">
        <f>IF(F137+SUM(E$99:E137)=D$92,F137,D$92-SUM(E$99:E137))</f>
        <v>8778</v>
      </c>
      <c r="E138" s="487">
        <f>IF(+J96&lt;F137,J96,D138)</f>
        <v>1305</v>
      </c>
      <c r="F138" s="486">
        <f t="shared" si="41"/>
        <v>7473</v>
      </c>
      <c r="G138" s="486">
        <f t="shared" si="42"/>
        <v>8125.5</v>
      </c>
      <c r="H138" s="487">
        <f t="shared" si="39"/>
        <v>2241.8478107797309</v>
      </c>
      <c r="I138" s="543">
        <f t="shared" si="40"/>
        <v>2241.8478107797309</v>
      </c>
      <c r="J138" s="479">
        <f t="shared" si="43"/>
        <v>0</v>
      </c>
      <c r="K138" s="479"/>
      <c r="L138" s="488"/>
      <c r="M138" s="479">
        <f t="shared" si="44"/>
        <v>0</v>
      </c>
      <c r="N138" s="488"/>
      <c r="O138" s="479">
        <f t="shared" si="45"/>
        <v>0</v>
      </c>
      <c r="P138" s="479">
        <f t="shared" si="46"/>
        <v>0</v>
      </c>
    </row>
    <row r="139" spans="2:16" ht="12.5">
      <c r="B139" s="160" t="str">
        <f t="shared" si="26"/>
        <v/>
      </c>
      <c r="C139" s="473">
        <f>IF(D93="","-",+C138+1)</f>
        <v>2046</v>
      </c>
      <c r="D139" s="347">
        <f>IF(F138+SUM(E$99:E138)=D$92,F138,D$92-SUM(E$99:E138))</f>
        <v>7473</v>
      </c>
      <c r="E139" s="487">
        <f>IF(+J96&lt;F138,J96,D139)</f>
        <v>1305</v>
      </c>
      <c r="F139" s="486">
        <f t="shared" si="41"/>
        <v>6168</v>
      </c>
      <c r="G139" s="486">
        <f t="shared" si="42"/>
        <v>6820.5</v>
      </c>
      <c r="H139" s="487">
        <f t="shared" si="39"/>
        <v>2091.3848985813984</v>
      </c>
      <c r="I139" s="543">
        <f t="shared" si="40"/>
        <v>2091.3848985813984</v>
      </c>
      <c r="J139" s="479">
        <f t="shared" si="43"/>
        <v>0</v>
      </c>
      <c r="K139" s="479"/>
      <c r="L139" s="488"/>
      <c r="M139" s="479">
        <f t="shared" si="44"/>
        <v>0</v>
      </c>
      <c r="N139" s="488"/>
      <c r="O139" s="479">
        <f t="shared" si="45"/>
        <v>0</v>
      </c>
      <c r="P139" s="479">
        <f t="shared" si="46"/>
        <v>0</v>
      </c>
    </row>
    <row r="140" spans="2:16" ht="12.5">
      <c r="B140" s="160" t="str">
        <f t="shared" si="26"/>
        <v/>
      </c>
      <c r="C140" s="473">
        <f>IF(D93="","-",+C139+1)</f>
        <v>2047</v>
      </c>
      <c r="D140" s="347">
        <f>IF(F139+SUM(E$99:E139)=D$92,F139,D$92-SUM(E$99:E139))</f>
        <v>6168</v>
      </c>
      <c r="E140" s="487">
        <f>IF(+J96&lt;F139,J96,D140)</f>
        <v>1305</v>
      </c>
      <c r="F140" s="486">
        <f t="shared" si="41"/>
        <v>4863</v>
      </c>
      <c r="G140" s="486">
        <f t="shared" si="42"/>
        <v>5515.5</v>
      </c>
      <c r="H140" s="487">
        <f t="shared" si="39"/>
        <v>1940.9219863830663</v>
      </c>
      <c r="I140" s="543">
        <f t="shared" si="40"/>
        <v>1940.9219863830663</v>
      </c>
      <c r="J140" s="479">
        <f t="shared" si="43"/>
        <v>0</v>
      </c>
      <c r="K140" s="479"/>
      <c r="L140" s="488"/>
      <c r="M140" s="479">
        <f t="shared" si="44"/>
        <v>0</v>
      </c>
      <c r="N140" s="488"/>
      <c r="O140" s="479">
        <f t="shared" si="45"/>
        <v>0</v>
      </c>
      <c r="P140" s="479">
        <f t="shared" si="46"/>
        <v>0</v>
      </c>
    </row>
    <row r="141" spans="2:16" ht="12.5">
      <c r="B141" s="160" t="str">
        <f t="shared" si="26"/>
        <v/>
      </c>
      <c r="C141" s="473">
        <f>IF(D93="","-",+C140+1)</f>
        <v>2048</v>
      </c>
      <c r="D141" s="347">
        <f>IF(F140+SUM(E$99:E140)=D$92,F140,D$92-SUM(E$99:E140))</f>
        <v>4863</v>
      </c>
      <c r="E141" s="487">
        <f>IF(+J96&lt;F140,J96,D141)</f>
        <v>1305</v>
      </c>
      <c r="F141" s="486">
        <f t="shared" si="41"/>
        <v>3558</v>
      </c>
      <c r="G141" s="486">
        <f t="shared" si="42"/>
        <v>4210.5</v>
      </c>
      <c r="H141" s="487">
        <f t="shared" si="39"/>
        <v>1790.4590741847339</v>
      </c>
      <c r="I141" s="543">
        <f t="shared" si="40"/>
        <v>1790.4590741847339</v>
      </c>
      <c r="J141" s="479">
        <f t="shared" si="43"/>
        <v>0</v>
      </c>
      <c r="K141" s="479"/>
      <c r="L141" s="488"/>
      <c r="M141" s="479">
        <f t="shared" si="44"/>
        <v>0</v>
      </c>
      <c r="N141" s="488"/>
      <c r="O141" s="479">
        <f t="shared" si="45"/>
        <v>0</v>
      </c>
      <c r="P141" s="479">
        <f t="shared" si="46"/>
        <v>0</v>
      </c>
    </row>
    <row r="142" spans="2:16" ht="12.5">
      <c r="B142" s="160" t="str">
        <f t="shared" si="26"/>
        <v/>
      </c>
      <c r="C142" s="473">
        <f>IF(D93="","-",+C141+1)</f>
        <v>2049</v>
      </c>
      <c r="D142" s="347">
        <f>IF(F141+SUM(E$99:E141)=D$92,F141,D$92-SUM(E$99:E141))</f>
        <v>3558</v>
      </c>
      <c r="E142" s="487">
        <f>IF(+J96&lt;F141,J96,D142)</f>
        <v>1305</v>
      </c>
      <c r="F142" s="486">
        <f t="shared" si="41"/>
        <v>2253</v>
      </c>
      <c r="G142" s="486">
        <f t="shared" si="42"/>
        <v>2905.5</v>
      </c>
      <c r="H142" s="487">
        <f t="shared" si="39"/>
        <v>1639.9961619864018</v>
      </c>
      <c r="I142" s="543">
        <f t="shared" si="40"/>
        <v>1639.9961619864018</v>
      </c>
      <c r="J142" s="479">
        <f t="shared" si="43"/>
        <v>0</v>
      </c>
      <c r="K142" s="479"/>
      <c r="L142" s="488"/>
      <c r="M142" s="479">
        <f t="shared" si="44"/>
        <v>0</v>
      </c>
      <c r="N142" s="488"/>
      <c r="O142" s="479">
        <f t="shared" si="45"/>
        <v>0</v>
      </c>
      <c r="P142" s="479">
        <f t="shared" si="46"/>
        <v>0</v>
      </c>
    </row>
    <row r="143" spans="2:16" ht="12.5">
      <c r="B143" s="160" t="str">
        <f t="shared" si="26"/>
        <v/>
      </c>
      <c r="C143" s="473">
        <f>IF(D93="","-",+C142+1)</f>
        <v>2050</v>
      </c>
      <c r="D143" s="347">
        <f>IF(F142+SUM(E$99:E142)=D$92,F142,D$92-SUM(E$99:E142))</f>
        <v>2253</v>
      </c>
      <c r="E143" s="487">
        <f>IF(+J96&lt;F142,J96,D143)</f>
        <v>1305</v>
      </c>
      <c r="F143" s="486">
        <f t="shared" si="41"/>
        <v>948</v>
      </c>
      <c r="G143" s="486">
        <f t="shared" si="42"/>
        <v>1600.5</v>
      </c>
      <c r="H143" s="487">
        <f t="shared" si="39"/>
        <v>1489.5332497880695</v>
      </c>
      <c r="I143" s="543">
        <f t="shared" si="40"/>
        <v>1489.5332497880695</v>
      </c>
      <c r="J143" s="479">
        <f t="shared" si="43"/>
        <v>0</v>
      </c>
      <c r="K143" s="479"/>
      <c r="L143" s="488"/>
      <c r="M143" s="479">
        <f t="shared" si="44"/>
        <v>0</v>
      </c>
      <c r="N143" s="488"/>
      <c r="O143" s="479">
        <f t="shared" si="45"/>
        <v>0</v>
      </c>
      <c r="P143" s="479">
        <f t="shared" si="46"/>
        <v>0</v>
      </c>
    </row>
    <row r="144" spans="2:16" ht="12.5">
      <c r="B144" s="160" t="str">
        <f t="shared" si="26"/>
        <v/>
      </c>
      <c r="C144" s="473">
        <f>IF(D93="","-",+C143+1)</f>
        <v>2051</v>
      </c>
      <c r="D144" s="347">
        <f>IF(F143+SUM(E$99:E143)=D$92,F143,D$92-SUM(E$99:E143))</f>
        <v>948</v>
      </c>
      <c r="E144" s="487">
        <f>IF(+J96&lt;F143,J96,D144)</f>
        <v>948</v>
      </c>
      <c r="F144" s="486">
        <f t="shared" si="41"/>
        <v>0</v>
      </c>
      <c r="G144" s="486">
        <f t="shared" si="42"/>
        <v>474</v>
      </c>
      <c r="H144" s="487">
        <f t="shared" si="39"/>
        <v>1002.6508968444517</v>
      </c>
      <c r="I144" s="543">
        <f t="shared" si="40"/>
        <v>1002.6508968444517</v>
      </c>
      <c r="J144" s="479">
        <f t="shared" si="43"/>
        <v>0</v>
      </c>
      <c r="K144" s="479"/>
      <c r="L144" s="488"/>
      <c r="M144" s="479">
        <f t="shared" si="44"/>
        <v>0</v>
      </c>
      <c r="N144" s="488"/>
      <c r="O144" s="479">
        <f t="shared" si="45"/>
        <v>0</v>
      </c>
      <c r="P144" s="479">
        <f t="shared" si="46"/>
        <v>0</v>
      </c>
    </row>
    <row r="145" spans="2:16" ht="12.5">
      <c r="B145" s="160" t="str">
        <f t="shared" si="26"/>
        <v/>
      </c>
      <c r="C145" s="473">
        <f>IF(D93="","-",+C144+1)</f>
        <v>2052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41"/>
        <v>0</v>
      </c>
      <c r="G145" s="486">
        <f t="shared" si="42"/>
        <v>0</v>
      </c>
      <c r="H145" s="487">
        <f t="shared" si="39"/>
        <v>0</v>
      </c>
      <c r="I145" s="543">
        <f t="shared" si="40"/>
        <v>0</v>
      </c>
      <c r="J145" s="479">
        <f t="shared" si="43"/>
        <v>0</v>
      </c>
      <c r="K145" s="479"/>
      <c r="L145" s="488"/>
      <c r="M145" s="479">
        <f t="shared" si="44"/>
        <v>0</v>
      </c>
      <c r="N145" s="488"/>
      <c r="O145" s="479">
        <f t="shared" si="45"/>
        <v>0</v>
      </c>
      <c r="P145" s="479">
        <f t="shared" si="46"/>
        <v>0</v>
      </c>
    </row>
    <row r="146" spans="2:16" ht="12.5">
      <c r="B146" s="160" t="str">
        <f t="shared" si="26"/>
        <v/>
      </c>
      <c r="C146" s="473">
        <f>IF(D93="","-",+C145+1)</f>
        <v>2053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41"/>
        <v>0</v>
      </c>
      <c r="G146" s="486">
        <f t="shared" si="42"/>
        <v>0</v>
      </c>
      <c r="H146" s="487">
        <f t="shared" si="39"/>
        <v>0</v>
      </c>
      <c r="I146" s="543">
        <f t="shared" si="40"/>
        <v>0</v>
      </c>
      <c r="J146" s="479">
        <f t="shared" si="43"/>
        <v>0</v>
      </c>
      <c r="K146" s="479"/>
      <c r="L146" s="488"/>
      <c r="M146" s="479">
        <f t="shared" si="44"/>
        <v>0</v>
      </c>
      <c r="N146" s="488"/>
      <c r="O146" s="479">
        <f t="shared" si="45"/>
        <v>0</v>
      </c>
      <c r="P146" s="479">
        <f t="shared" si="46"/>
        <v>0</v>
      </c>
    </row>
    <row r="147" spans="2:16" ht="12.5">
      <c r="B147" s="160" t="str">
        <f t="shared" si="26"/>
        <v/>
      </c>
      <c r="C147" s="473">
        <f>IF(D93="","-",+C146+1)</f>
        <v>2054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41"/>
        <v>0</v>
      </c>
      <c r="G147" s="486">
        <f t="shared" si="42"/>
        <v>0</v>
      </c>
      <c r="H147" s="487">
        <f t="shared" si="39"/>
        <v>0</v>
      </c>
      <c r="I147" s="543">
        <f t="shared" si="40"/>
        <v>0</v>
      </c>
      <c r="J147" s="479">
        <f t="shared" si="43"/>
        <v>0</v>
      </c>
      <c r="K147" s="479"/>
      <c r="L147" s="488"/>
      <c r="M147" s="479">
        <f t="shared" si="44"/>
        <v>0</v>
      </c>
      <c r="N147" s="488"/>
      <c r="O147" s="479">
        <f t="shared" si="45"/>
        <v>0</v>
      </c>
      <c r="P147" s="479">
        <f t="shared" si="46"/>
        <v>0</v>
      </c>
    </row>
    <row r="148" spans="2:16" ht="12.5">
      <c r="B148" s="160" t="str">
        <f t="shared" si="26"/>
        <v/>
      </c>
      <c r="C148" s="473">
        <f>IF(D93="","-",+C147+1)</f>
        <v>2055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41"/>
        <v>0</v>
      </c>
      <c r="G148" s="486">
        <f t="shared" si="42"/>
        <v>0</v>
      </c>
      <c r="H148" s="487">
        <f t="shared" si="39"/>
        <v>0</v>
      </c>
      <c r="I148" s="543">
        <f t="shared" si="40"/>
        <v>0</v>
      </c>
      <c r="J148" s="479">
        <f t="shared" si="43"/>
        <v>0</v>
      </c>
      <c r="K148" s="479"/>
      <c r="L148" s="488"/>
      <c r="M148" s="479">
        <f t="shared" si="44"/>
        <v>0</v>
      </c>
      <c r="N148" s="488"/>
      <c r="O148" s="479">
        <f t="shared" si="45"/>
        <v>0</v>
      </c>
      <c r="P148" s="479">
        <f t="shared" si="46"/>
        <v>0</v>
      </c>
    </row>
    <row r="149" spans="2:16" ht="12.5">
      <c r="B149" s="160" t="str">
        <f t="shared" si="26"/>
        <v/>
      </c>
      <c r="C149" s="473">
        <f>IF(D93="","-",+C148+1)</f>
        <v>2056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41"/>
        <v>0</v>
      </c>
      <c r="G149" s="486">
        <f t="shared" si="42"/>
        <v>0</v>
      </c>
      <c r="H149" s="487">
        <f t="shared" si="39"/>
        <v>0</v>
      </c>
      <c r="I149" s="543">
        <f t="shared" si="40"/>
        <v>0</v>
      </c>
      <c r="J149" s="479">
        <f t="shared" si="43"/>
        <v>0</v>
      </c>
      <c r="K149" s="479"/>
      <c r="L149" s="488"/>
      <c r="M149" s="479">
        <f t="shared" si="44"/>
        <v>0</v>
      </c>
      <c r="N149" s="488"/>
      <c r="O149" s="479">
        <f t="shared" si="45"/>
        <v>0</v>
      </c>
      <c r="P149" s="479">
        <f t="shared" si="46"/>
        <v>0</v>
      </c>
    </row>
    <row r="150" spans="2:16" ht="12.5">
      <c r="B150" s="160" t="str">
        <f t="shared" si="26"/>
        <v/>
      </c>
      <c r="C150" s="473">
        <f>IF(D93="","-",+C149+1)</f>
        <v>2057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41"/>
        <v>0</v>
      </c>
      <c r="G150" s="486">
        <f t="shared" si="42"/>
        <v>0</v>
      </c>
      <c r="H150" s="487">
        <f t="shared" si="39"/>
        <v>0</v>
      </c>
      <c r="I150" s="543">
        <f t="shared" si="40"/>
        <v>0</v>
      </c>
      <c r="J150" s="479">
        <f t="shared" si="43"/>
        <v>0</v>
      </c>
      <c r="K150" s="479"/>
      <c r="L150" s="488"/>
      <c r="M150" s="479">
        <f t="shared" si="44"/>
        <v>0</v>
      </c>
      <c r="N150" s="488"/>
      <c r="O150" s="479">
        <f t="shared" si="45"/>
        <v>0</v>
      </c>
      <c r="P150" s="479">
        <f t="shared" si="46"/>
        <v>0</v>
      </c>
    </row>
    <row r="151" spans="2:16" ht="12.5">
      <c r="B151" s="160" t="str">
        <f t="shared" si="26"/>
        <v/>
      </c>
      <c r="C151" s="473">
        <f>IF(D93="","-",+C150+1)</f>
        <v>2058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41"/>
        <v>0</v>
      </c>
      <c r="G151" s="486">
        <f t="shared" si="42"/>
        <v>0</v>
      </c>
      <c r="H151" s="487">
        <f t="shared" si="39"/>
        <v>0</v>
      </c>
      <c r="I151" s="543">
        <f t="shared" si="40"/>
        <v>0</v>
      </c>
      <c r="J151" s="479">
        <f t="shared" si="43"/>
        <v>0</v>
      </c>
      <c r="K151" s="479"/>
      <c r="L151" s="488"/>
      <c r="M151" s="479">
        <f t="shared" si="44"/>
        <v>0</v>
      </c>
      <c r="N151" s="488"/>
      <c r="O151" s="479">
        <f t="shared" si="45"/>
        <v>0</v>
      </c>
      <c r="P151" s="479">
        <f t="shared" si="46"/>
        <v>0</v>
      </c>
    </row>
    <row r="152" spans="2:16" ht="12.5">
      <c r="B152" s="160" t="str">
        <f t="shared" si="26"/>
        <v/>
      </c>
      <c r="C152" s="473">
        <f>IF(D93="","-",+C151+1)</f>
        <v>2059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41"/>
        <v>0</v>
      </c>
      <c r="G152" s="486">
        <f t="shared" si="42"/>
        <v>0</v>
      </c>
      <c r="H152" s="487">
        <f t="shared" si="39"/>
        <v>0</v>
      </c>
      <c r="I152" s="543">
        <f t="shared" si="40"/>
        <v>0</v>
      </c>
      <c r="J152" s="479">
        <f t="shared" si="43"/>
        <v>0</v>
      </c>
      <c r="K152" s="479"/>
      <c r="L152" s="488"/>
      <c r="M152" s="479">
        <f t="shared" si="44"/>
        <v>0</v>
      </c>
      <c r="N152" s="488"/>
      <c r="O152" s="479">
        <f t="shared" si="45"/>
        <v>0</v>
      </c>
      <c r="P152" s="479">
        <f t="shared" si="46"/>
        <v>0</v>
      </c>
    </row>
    <row r="153" spans="2:16" ht="12.5">
      <c r="B153" s="160" t="str">
        <f t="shared" si="26"/>
        <v/>
      </c>
      <c r="C153" s="473">
        <f>IF(D93="","-",+C152+1)</f>
        <v>2060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41"/>
        <v>0</v>
      </c>
      <c r="G153" s="486">
        <f t="shared" si="42"/>
        <v>0</v>
      </c>
      <c r="H153" s="487">
        <f t="shared" si="39"/>
        <v>0</v>
      </c>
      <c r="I153" s="543">
        <f t="shared" si="40"/>
        <v>0</v>
      </c>
      <c r="J153" s="479">
        <f t="shared" si="43"/>
        <v>0</v>
      </c>
      <c r="K153" s="479"/>
      <c r="L153" s="488"/>
      <c r="M153" s="479">
        <f t="shared" si="44"/>
        <v>0</v>
      </c>
      <c r="N153" s="488"/>
      <c r="O153" s="479">
        <f t="shared" si="45"/>
        <v>0</v>
      </c>
      <c r="P153" s="479">
        <f t="shared" si="46"/>
        <v>0</v>
      </c>
    </row>
    <row r="154" spans="2:16" ht="13" thickBot="1">
      <c r="B154" s="160" t="str">
        <f t="shared" si="26"/>
        <v/>
      </c>
      <c r="C154" s="490">
        <f>IF(D93="","-",+C153+1)</f>
        <v>2061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41"/>
        <v>0</v>
      </c>
      <c r="G154" s="491">
        <f t="shared" si="42"/>
        <v>0</v>
      </c>
      <c r="H154" s="493">
        <f t="shared" ref="H154" si="47">+J$94*G154+E154</f>
        <v>0</v>
      </c>
      <c r="I154" s="546">
        <f t="shared" ref="I154" si="48">+J$95*G154+E154</f>
        <v>0</v>
      </c>
      <c r="J154" s="496">
        <f t="shared" si="43"/>
        <v>0</v>
      </c>
      <c r="K154" s="479"/>
      <c r="L154" s="495"/>
      <c r="M154" s="496">
        <f t="shared" si="44"/>
        <v>0</v>
      </c>
      <c r="N154" s="495"/>
      <c r="O154" s="496">
        <f t="shared" si="45"/>
        <v>0</v>
      </c>
      <c r="P154" s="496">
        <f t="shared" si="46"/>
        <v>0</v>
      </c>
    </row>
    <row r="155" spans="2:16" ht="12.5">
      <c r="C155" s="347" t="s">
        <v>77</v>
      </c>
      <c r="D155" s="348"/>
      <c r="E155" s="348">
        <f>SUM(E99:E154)</f>
        <v>56133</v>
      </c>
      <c r="F155" s="348"/>
      <c r="G155" s="348"/>
      <c r="H155" s="348">
        <f>SUM(H99:H154)</f>
        <v>210816.85274673073</v>
      </c>
      <c r="I155" s="348">
        <f>SUM(I99:I154)</f>
        <v>210816.85274673073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tabColor rgb="FFC00000"/>
  </sheetPr>
  <dimension ref="A1:P162"/>
  <sheetViews>
    <sheetView view="pageBreakPreview" topLeftCell="B77" zoomScale="75" zoomScaleNormal="100" workbookViewId="0">
      <selection activeCell="H112" sqref="H112:I112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9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7531.2168125199005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7531.2168125199005</v>
      </c>
      <c r="O6" s="233"/>
      <c r="P6" s="233"/>
    </row>
    <row r="7" spans="1:16" ht="13.5" thickBot="1">
      <c r="C7" s="432" t="s">
        <v>46</v>
      </c>
      <c r="D7" s="433" t="s">
        <v>216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88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72551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2007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4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1687.2325581395348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2007</v>
      </c>
      <c r="D17" s="474">
        <v>72551</v>
      </c>
      <c r="E17" s="475">
        <v>863.70238095238085</v>
      </c>
      <c r="F17" s="474">
        <v>71687.297619047618</v>
      </c>
      <c r="G17" s="475">
        <v>11207.929543529199</v>
      </c>
      <c r="H17" s="482">
        <v>11207.929543529199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2008</v>
      </c>
      <c r="D18" s="480">
        <v>71687.297619047618</v>
      </c>
      <c r="E18" s="481">
        <v>1295.5535714285713</v>
      </c>
      <c r="F18" s="480">
        <v>70391.744047619053</v>
      </c>
      <c r="G18" s="481">
        <v>11452.836869621469</v>
      </c>
      <c r="H18" s="482">
        <v>11452.836869621469</v>
      </c>
      <c r="I18" s="476">
        <f t="shared" si="0"/>
        <v>0</v>
      </c>
      <c r="J18" s="476"/>
      <c r="K18" s="477">
        <v>0</v>
      </c>
      <c r="L18" s="479">
        <f t="shared" si="1"/>
        <v>0</v>
      </c>
      <c r="M18" s="477">
        <v>0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2009</v>
      </c>
      <c r="D19" s="480">
        <v>70391.744047619053</v>
      </c>
      <c r="E19" s="481">
        <v>1295.5535714285713</v>
      </c>
      <c r="F19" s="480">
        <v>69096.190476190488</v>
      </c>
      <c r="G19" s="481">
        <v>11265.893005237553</v>
      </c>
      <c r="H19" s="482">
        <v>11265.893005237553</v>
      </c>
      <c r="I19" s="476">
        <f t="shared" si="0"/>
        <v>0</v>
      </c>
      <c r="J19" s="476"/>
      <c r="K19" s="477">
        <v>0</v>
      </c>
      <c r="L19" s="479">
        <f t="shared" si="1"/>
        <v>0</v>
      </c>
      <c r="M19" s="477">
        <v>0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4">IF(D20=F19,"","IU")</f>
        <v/>
      </c>
      <c r="C20" s="473">
        <f>IF(D11="","-",+C19+1)</f>
        <v>2010</v>
      </c>
      <c r="D20" s="480">
        <v>69096.190476190488</v>
      </c>
      <c r="E20" s="481">
        <v>1295.5535714285713</v>
      </c>
      <c r="F20" s="480">
        <v>67800.636904761923</v>
      </c>
      <c r="G20" s="481">
        <v>11078.949140853634</v>
      </c>
      <c r="H20" s="482">
        <v>11078.949140853634</v>
      </c>
      <c r="I20" s="476">
        <f t="shared" si="0"/>
        <v>0</v>
      </c>
      <c r="J20" s="476"/>
      <c r="K20" s="541">
        <f t="shared" ref="K20:K25" si="5">G20</f>
        <v>11078.949140853634</v>
      </c>
      <c r="L20" s="542">
        <f t="shared" si="1"/>
        <v>0</v>
      </c>
      <c r="M20" s="541">
        <f t="shared" ref="M20:M25" si="6">H20</f>
        <v>11078.949140853634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4"/>
        <v/>
      </c>
      <c r="C21" s="473">
        <f>IF(D11="","-",+C20+1)</f>
        <v>2011</v>
      </c>
      <c r="D21" s="480">
        <v>67800.636904761923</v>
      </c>
      <c r="E21" s="481">
        <v>1422.5686274509803</v>
      </c>
      <c r="F21" s="480">
        <v>66378.068277310944</v>
      </c>
      <c r="G21" s="481">
        <v>11813.613268851301</v>
      </c>
      <c r="H21" s="482">
        <v>11813.613268851301</v>
      </c>
      <c r="I21" s="476">
        <f t="shared" si="0"/>
        <v>0</v>
      </c>
      <c r="J21" s="476"/>
      <c r="K21" s="477">
        <f t="shared" si="5"/>
        <v>11813.613268851301</v>
      </c>
      <c r="L21" s="551">
        <f t="shared" si="1"/>
        <v>0</v>
      </c>
      <c r="M21" s="477">
        <f t="shared" si="6"/>
        <v>11813.613268851301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4"/>
        <v/>
      </c>
      <c r="C22" s="473">
        <f>IF(D11="","-",+C21+1)</f>
        <v>2012</v>
      </c>
      <c r="D22" s="480">
        <v>66378.068277310944</v>
      </c>
      <c r="E22" s="481">
        <v>1395.2115384615386</v>
      </c>
      <c r="F22" s="480">
        <v>64982.856738849405</v>
      </c>
      <c r="G22" s="481">
        <v>10441.262785463339</v>
      </c>
      <c r="H22" s="482">
        <v>10441.262785463339</v>
      </c>
      <c r="I22" s="476">
        <f t="shared" si="0"/>
        <v>0</v>
      </c>
      <c r="J22" s="476"/>
      <c r="K22" s="477">
        <f t="shared" si="5"/>
        <v>10441.262785463339</v>
      </c>
      <c r="L22" s="551">
        <f t="shared" si="1"/>
        <v>0</v>
      </c>
      <c r="M22" s="477">
        <f t="shared" si="6"/>
        <v>10441.262785463339</v>
      </c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4"/>
        <v/>
      </c>
      <c r="C23" s="473">
        <f>IF(D11="","-",+C22+1)</f>
        <v>2013</v>
      </c>
      <c r="D23" s="480">
        <v>64982.856738849405</v>
      </c>
      <c r="E23" s="481">
        <v>1395.2115384615386</v>
      </c>
      <c r="F23" s="480">
        <v>63587.645200387866</v>
      </c>
      <c r="G23" s="481">
        <v>10475.957148527981</v>
      </c>
      <c r="H23" s="482">
        <v>10475.957148527981</v>
      </c>
      <c r="I23" s="476">
        <v>0</v>
      </c>
      <c r="J23" s="476"/>
      <c r="K23" s="477">
        <f t="shared" si="5"/>
        <v>10475.957148527981</v>
      </c>
      <c r="L23" s="551">
        <f t="shared" ref="L23:L28" si="7">IF(K23&lt;&gt;0,+G23-K23,0)</f>
        <v>0</v>
      </c>
      <c r="M23" s="477">
        <f t="shared" si="6"/>
        <v>10475.957148527981</v>
      </c>
      <c r="N23" s="479">
        <f t="shared" ref="N23:N28" si="8">IF(M23&lt;&gt;0,+H23-M23,0)</f>
        <v>0</v>
      </c>
      <c r="O23" s="479">
        <f t="shared" ref="O23:O28" si="9">+N23-L23</f>
        <v>0</v>
      </c>
      <c r="P23" s="243"/>
    </row>
    <row r="24" spans="2:16" ht="12.5">
      <c r="B24" s="160" t="str">
        <f t="shared" si="4"/>
        <v/>
      </c>
      <c r="C24" s="473">
        <f>IF(D11="","-",+C23+1)</f>
        <v>2014</v>
      </c>
      <c r="D24" s="480">
        <v>63587.645200387866</v>
      </c>
      <c r="E24" s="481">
        <v>1395.2115384615386</v>
      </c>
      <c r="F24" s="480">
        <v>62192.433661926327</v>
      </c>
      <c r="G24" s="481">
        <v>9956.5453160541092</v>
      </c>
      <c r="H24" s="482">
        <v>9956.5453160541092</v>
      </c>
      <c r="I24" s="476">
        <v>0</v>
      </c>
      <c r="J24" s="476"/>
      <c r="K24" s="477">
        <f t="shared" si="5"/>
        <v>9956.5453160541092</v>
      </c>
      <c r="L24" s="551">
        <f t="shared" si="7"/>
        <v>0</v>
      </c>
      <c r="M24" s="477">
        <f t="shared" si="6"/>
        <v>9956.5453160541092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4"/>
        <v/>
      </c>
      <c r="C25" s="473">
        <f>IF(D11="","-",+C24+1)</f>
        <v>2015</v>
      </c>
      <c r="D25" s="480">
        <v>62192.433661926327</v>
      </c>
      <c r="E25" s="481">
        <v>1395.2115384615386</v>
      </c>
      <c r="F25" s="480">
        <v>60797.222123464788</v>
      </c>
      <c r="G25" s="481">
        <v>9777.4252794187214</v>
      </c>
      <c r="H25" s="482">
        <v>9777.4252794187214</v>
      </c>
      <c r="I25" s="476">
        <v>0</v>
      </c>
      <c r="J25" s="476"/>
      <c r="K25" s="477">
        <f t="shared" si="5"/>
        <v>9777.4252794187214</v>
      </c>
      <c r="L25" s="551">
        <f t="shared" si="7"/>
        <v>0</v>
      </c>
      <c r="M25" s="477">
        <f t="shared" si="6"/>
        <v>9777.4252794187214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4"/>
        <v/>
      </c>
      <c r="C26" s="473">
        <f>IF(D11="","-",+C25+1)</f>
        <v>2016</v>
      </c>
      <c r="D26" s="480">
        <v>60797.222123464788</v>
      </c>
      <c r="E26" s="481">
        <v>1395.2115384615386</v>
      </c>
      <c r="F26" s="480">
        <v>59402.010585003249</v>
      </c>
      <c r="G26" s="481">
        <v>9186.357507240491</v>
      </c>
      <c r="H26" s="482">
        <v>9186.357507240491</v>
      </c>
      <c r="I26" s="476">
        <f t="shared" si="0"/>
        <v>0</v>
      </c>
      <c r="J26" s="476"/>
      <c r="K26" s="477">
        <f>G26</f>
        <v>9186.357507240491</v>
      </c>
      <c r="L26" s="551">
        <f t="shared" si="7"/>
        <v>0</v>
      </c>
      <c r="M26" s="477">
        <f>H26</f>
        <v>9186.357507240491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4"/>
        <v/>
      </c>
      <c r="C27" s="473">
        <f>IF(D11="","-",+C26+1)</f>
        <v>2017</v>
      </c>
      <c r="D27" s="480">
        <v>59402.010585003249</v>
      </c>
      <c r="E27" s="481">
        <v>1577.195652173913</v>
      </c>
      <c r="F27" s="480">
        <v>57824.814932829337</v>
      </c>
      <c r="G27" s="481">
        <v>8936.0194589414823</v>
      </c>
      <c r="H27" s="482">
        <v>8936.0194589414823</v>
      </c>
      <c r="I27" s="476">
        <f t="shared" si="0"/>
        <v>0</v>
      </c>
      <c r="J27" s="476"/>
      <c r="K27" s="477">
        <f>G27</f>
        <v>8936.0194589414823</v>
      </c>
      <c r="L27" s="551">
        <f t="shared" si="7"/>
        <v>0</v>
      </c>
      <c r="M27" s="477">
        <f>H27</f>
        <v>8936.0194589414823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4"/>
        <v/>
      </c>
      <c r="C28" s="473">
        <f>IF(D11="","-",+C27+1)</f>
        <v>2018</v>
      </c>
      <c r="D28" s="480">
        <v>57824.814932829337</v>
      </c>
      <c r="E28" s="481">
        <v>1612.2444444444445</v>
      </c>
      <c r="F28" s="480">
        <v>56212.570488384896</v>
      </c>
      <c r="G28" s="481">
        <v>9219.7957260985368</v>
      </c>
      <c r="H28" s="482">
        <v>9219.7957260985368</v>
      </c>
      <c r="I28" s="476">
        <f t="shared" si="0"/>
        <v>0</v>
      </c>
      <c r="J28" s="476"/>
      <c r="K28" s="477">
        <f>G28</f>
        <v>9219.7957260985368</v>
      </c>
      <c r="L28" s="551">
        <f t="shared" si="7"/>
        <v>0</v>
      </c>
      <c r="M28" s="477">
        <f>H28</f>
        <v>9219.7957260985368</v>
      </c>
      <c r="N28" s="479">
        <f t="shared" si="8"/>
        <v>0</v>
      </c>
      <c r="O28" s="479">
        <f t="shared" si="9"/>
        <v>0</v>
      </c>
      <c r="P28" s="243"/>
    </row>
    <row r="29" spans="2:16" ht="12.5">
      <c r="B29" s="160" t="str">
        <f t="shared" si="4"/>
        <v/>
      </c>
      <c r="C29" s="473">
        <f>IF(D11="","-",+C28+1)</f>
        <v>2019</v>
      </c>
      <c r="D29" s="480">
        <v>56212.570488384896</v>
      </c>
      <c r="E29" s="481">
        <v>1612.2444444444445</v>
      </c>
      <c r="F29" s="480">
        <v>54600.326043940455</v>
      </c>
      <c r="G29" s="481">
        <v>9001.6019629756192</v>
      </c>
      <c r="H29" s="482">
        <v>9001.6019629756192</v>
      </c>
      <c r="I29" s="476">
        <f t="shared" si="0"/>
        <v>0</v>
      </c>
      <c r="J29" s="476"/>
      <c r="K29" s="477">
        <f>G29</f>
        <v>9001.6019629756192</v>
      </c>
      <c r="L29" s="551">
        <f t="shared" ref="L29" si="10">IF(K29&lt;&gt;0,+G29-K29,0)</f>
        <v>0</v>
      </c>
      <c r="M29" s="477">
        <f>H29</f>
        <v>9001.6019629756192</v>
      </c>
      <c r="N29" s="479">
        <f t="shared" ref="N29" si="11">IF(M29&lt;&gt;0,+H29-M29,0)</f>
        <v>0</v>
      </c>
      <c r="O29" s="479">
        <f t="shared" si="3"/>
        <v>0</v>
      </c>
      <c r="P29" s="243"/>
    </row>
    <row r="30" spans="2:16" ht="12.5">
      <c r="B30" s="160" t="str">
        <f t="shared" si="4"/>
        <v/>
      </c>
      <c r="C30" s="473">
        <f>IF(D11="","-",+C29+1)</f>
        <v>2020</v>
      </c>
      <c r="D30" s="480">
        <v>54600.326043940455</v>
      </c>
      <c r="E30" s="481">
        <v>1727.4047619047619</v>
      </c>
      <c r="F30" s="480">
        <v>52872.921282035692</v>
      </c>
      <c r="G30" s="481">
        <v>7531.2168125199005</v>
      </c>
      <c r="H30" s="482">
        <v>7531.2168125199005</v>
      </c>
      <c r="I30" s="476">
        <f t="shared" si="0"/>
        <v>0</v>
      </c>
      <c r="J30" s="476"/>
      <c r="K30" s="477">
        <f>G30</f>
        <v>7531.2168125199005</v>
      </c>
      <c r="L30" s="551">
        <f t="shared" ref="L30" si="12">IF(K30&lt;&gt;0,+G30-K30,0)</f>
        <v>0</v>
      </c>
      <c r="M30" s="477">
        <f>H30</f>
        <v>7531.2168125199005</v>
      </c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4"/>
        <v/>
      </c>
      <c r="C31" s="473">
        <f>IF(D11="","-",+C30+1)</f>
        <v>2021</v>
      </c>
      <c r="D31" s="486">
        <f>IF(F30+SUM(E$17:E30)=D$10,F30,D$10-SUM(E$17:E30))</f>
        <v>52872.921282035692</v>
      </c>
      <c r="E31" s="485">
        <f>IF(+I14&lt;F30,I14,D31)</f>
        <v>1687.2325581395348</v>
      </c>
      <c r="F31" s="486">
        <f t="shared" ref="F31:F48" si="13">+D31-E31</f>
        <v>51185.688723896157</v>
      </c>
      <c r="G31" s="487">
        <f t="shared" ref="G31:G72" si="14">(D31+F31)/2*I$12+E31</f>
        <v>7673.5337177400634</v>
      </c>
      <c r="H31" s="456">
        <f t="shared" ref="H31:H72" si="15">+(D31+F31)/2*I$13+E31</f>
        <v>7673.5337177400634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4"/>
        <v/>
      </c>
      <c r="C32" s="473">
        <f>IF(D11="","-",+C31+1)</f>
        <v>2022</v>
      </c>
      <c r="D32" s="486">
        <f>IF(F31+SUM(E$17:E31)=D$10,F31,D$10-SUM(E$17:E31))</f>
        <v>51185.688723896157</v>
      </c>
      <c r="E32" s="485">
        <f>IF(+I14&lt;F31,I14,D32)</f>
        <v>1687.2325581395348</v>
      </c>
      <c r="F32" s="486">
        <f t="shared" si="13"/>
        <v>49498.456165756623</v>
      </c>
      <c r="G32" s="487">
        <f t="shared" si="14"/>
        <v>7479.4069228745411</v>
      </c>
      <c r="H32" s="456">
        <f t="shared" si="15"/>
        <v>7479.4069228745411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4"/>
        <v/>
      </c>
      <c r="C33" s="473">
        <f>IF(D11="","-",+C32+1)</f>
        <v>2023</v>
      </c>
      <c r="D33" s="486">
        <f>IF(F32+SUM(E$17:E32)=D$10,F32,D$10-SUM(E$17:E32))</f>
        <v>49498.456165756623</v>
      </c>
      <c r="E33" s="485">
        <f>IF(+I14&lt;F32,I14,D33)</f>
        <v>1687.2325581395348</v>
      </c>
      <c r="F33" s="486">
        <f t="shared" si="13"/>
        <v>47811.223607617088</v>
      </c>
      <c r="G33" s="487">
        <f t="shared" si="14"/>
        <v>7285.2801280090189</v>
      </c>
      <c r="H33" s="456">
        <f t="shared" si="15"/>
        <v>7285.2801280090189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4"/>
        <v/>
      </c>
      <c r="C34" s="473">
        <f>IF(D11="","-",+C33+1)</f>
        <v>2024</v>
      </c>
      <c r="D34" s="486">
        <f>IF(F33+SUM(E$17:E33)=D$10,F33,D$10-SUM(E$17:E33))</f>
        <v>47811.223607617088</v>
      </c>
      <c r="E34" s="485">
        <f>IF(+I14&lt;F33,I14,D34)</f>
        <v>1687.2325581395348</v>
      </c>
      <c r="F34" s="486">
        <f t="shared" si="13"/>
        <v>46123.991049477554</v>
      </c>
      <c r="G34" s="487">
        <f t="shared" si="14"/>
        <v>7091.1533331434966</v>
      </c>
      <c r="H34" s="456">
        <f t="shared" si="15"/>
        <v>7091.1533331434966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4"/>
        <v/>
      </c>
      <c r="C35" s="473">
        <f>IF(D11="","-",+C34+1)</f>
        <v>2025</v>
      </c>
      <c r="D35" s="486">
        <f>IF(F34+SUM(E$17:E34)=D$10,F34,D$10-SUM(E$17:E34))</f>
        <v>46123.991049477554</v>
      </c>
      <c r="E35" s="485">
        <f>IF(+I14&lt;F34,I14,D35)</f>
        <v>1687.2325581395348</v>
      </c>
      <c r="F35" s="486">
        <f t="shared" si="13"/>
        <v>44436.75849133802</v>
      </c>
      <c r="G35" s="487">
        <f t="shared" si="14"/>
        <v>6897.0265382779744</v>
      </c>
      <c r="H35" s="456">
        <f t="shared" si="15"/>
        <v>6897.0265382779744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4"/>
        <v/>
      </c>
      <c r="C36" s="473">
        <f>IF(D11="","-",+C35+1)</f>
        <v>2026</v>
      </c>
      <c r="D36" s="486">
        <f>IF(F35+SUM(E$17:E35)=D$10,F35,D$10-SUM(E$17:E35))</f>
        <v>44436.75849133802</v>
      </c>
      <c r="E36" s="485">
        <f>IF(+I14&lt;F35,I14,D36)</f>
        <v>1687.2325581395348</v>
      </c>
      <c r="F36" s="486">
        <f t="shared" si="13"/>
        <v>42749.525933198485</v>
      </c>
      <c r="G36" s="487">
        <f t="shared" si="14"/>
        <v>6702.8997434124522</v>
      </c>
      <c r="H36" s="456">
        <f t="shared" si="15"/>
        <v>6702.8997434124522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4"/>
        <v/>
      </c>
      <c r="C37" s="473">
        <f>IF(D11="","-",+C36+1)</f>
        <v>2027</v>
      </c>
      <c r="D37" s="486">
        <f>IF(F36+SUM(E$17:E36)=D$10,F36,D$10-SUM(E$17:E36))</f>
        <v>42749.525933198485</v>
      </c>
      <c r="E37" s="485">
        <f>IF(+I14&lt;F36,I14,D37)</f>
        <v>1687.2325581395348</v>
      </c>
      <c r="F37" s="486">
        <f t="shared" si="13"/>
        <v>41062.293375058951</v>
      </c>
      <c r="G37" s="487">
        <f t="shared" si="14"/>
        <v>6508.7729485469281</v>
      </c>
      <c r="H37" s="456">
        <f t="shared" si="15"/>
        <v>6508.7729485469281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4"/>
        <v/>
      </c>
      <c r="C38" s="473">
        <f>IF(D11="","-",+C37+1)</f>
        <v>2028</v>
      </c>
      <c r="D38" s="486">
        <f>IF(F37+SUM(E$17:E37)=D$10,F37,D$10-SUM(E$17:E37))</f>
        <v>41062.293375058951</v>
      </c>
      <c r="E38" s="485">
        <f>IF(+I14&lt;F37,I14,D38)</f>
        <v>1687.2325581395348</v>
      </c>
      <c r="F38" s="486">
        <f t="shared" si="13"/>
        <v>39375.060816919417</v>
      </c>
      <c r="G38" s="487">
        <f t="shared" si="14"/>
        <v>6314.6461536814077</v>
      </c>
      <c r="H38" s="456">
        <f t="shared" si="15"/>
        <v>6314.6461536814077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4"/>
        <v/>
      </c>
      <c r="C39" s="473">
        <f>IF(D11="","-",+C38+1)</f>
        <v>2029</v>
      </c>
      <c r="D39" s="486">
        <f>IF(F38+SUM(E$17:E38)=D$10,F38,D$10-SUM(E$17:E38))</f>
        <v>39375.060816919417</v>
      </c>
      <c r="E39" s="485">
        <f>IF(+I14&lt;F38,I14,D39)</f>
        <v>1687.2325581395348</v>
      </c>
      <c r="F39" s="486">
        <f t="shared" si="13"/>
        <v>37687.828258779882</v>
      </c>
      <c r="G39" s="487">
        <f t="shared" si="14"/>
        <v>6120.5193588158836</v>
      </c>
      <c r="H39" s="456">
        <f t="shared" si="15"/>
        <v>6120.5193588158836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4"/>
        <v/>
      </c>
      <c r="C40" s="473">
        <f>IF(D11="","-",+C39+1)</f>
        <v>2030</v>
      </c>
      <c r="D40" s="486">
        <f>IF(F39+SUM(E$17:E39)=D$10,F39,D$10-SUM(E$17:E39))</f>
        <v>37687.828258779882</v>
      </c>
      <c r="E40" s="485">
        <f>IF(+I14&lt;F39,I14,D40)</f>
        <v>1687.2325581395348</v>
      </c>
      <c r="F40" s="486">
        <f t="shared" si="13"/>
        <v>36000.595700640348</v>
      </c>
      <c r="G40" s="487">
        <f t="shared" si="14"/>
        <v>5926.3925639503632</v>
      </c>
      <c r="H40" s="456">
        <f t="shared" si="15"/>
        <v>5926.3925639503632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4"/>
        <v/>
      </c>
      <c r="C41" s="473">
        <f>IF(D11="","-",+C40+1)</f>
        <v>2031</v>
      </c>
      <c r="D41" s="486">
        <f>IF(F40+SUM(E$17:E40)=D$10,F40,D$10-SUM(E$17:E40))</f>
        <v>36000.595700640348</v>
      </c>
      <c r="E41" s="485">
        <f>IF(+I14&lt;F40,I14,D41)</f>
        <v>1687.2325581395348</v>
      </c>
      <c r="F41" s="486">
        <f t="shared" si="13"/>
        <v>34313.363142500813</v>
      </c>
      <c r="G41" s="487">
        <f t="shared" si="14"/>
        <v>5732.2657690848391</v>
      </c>
      <c r="H41" s="456">
        <f t="shared" si="15"/>
        <v>5732.2657690848391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4"/>
        <v/>
      </c>
      <c r="C42" s="473">
        <f>IF(D11="","-",+C41+1)</f>
        <v>2032</v>
      </c>
      <c r="D42" s="486">
        <f>IF(F41+SUM(E$17:E41)=D$10,F41,D$10-SUM(E$17:E41))</f>
        <v>34313.363142500813</v>
      </c>
      <c r="E42" s="485">
        <f>IF(+I14&lt;F41,I14,D42)</f>
        <v>1687.2325581395348</v>
      </c>
      <c r="F42" s="486">
        <f t="shared" si="13"/>
        <v>32626.130584361279</v>
      </c>
      <c r="G42" s="487">
        <f t="shared" si="14"/>
        <v>5538.1389742193187</v>
      </c>
      <c r="H42" s="456">
        <f t="shared" si="15"/>
        <v>5538.1389742193187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4"/>
        <v/>
      </c>
      <c r="C43" s="473">
        <f>IF(D11="","-",+C42+1)</f>
        <v>2033</v>
      </c>
      <c r="D43" s="486">
        <f>IF(F42+SUM(E$17:E42)=D$10,F42,D$10-SUM(E$17:E42))</f>
        <v>32626.130584361279</v>
      </c>
      <c r="E43" s="485">
        <f>IF(+I14&lt;F42,I14,D43)</f>
        <v>1687.2325581395348</v>
      </c>
      <c r="F43" s="486">
        <f t="shared" si="13"/>
        <v>30938.898026221745</v>
      </c>
      <c r="G43" s="487">
        <f t="shared" si="14"/>
        <v>5344.0121793537946</v>
      </c>
      <c r="H43" s="456">
        <f t="shared" si="15"/>
        <v>5344.0121793537946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4"/>
        <v/>
      </c>
      <c r="C44" s="473">
        <f>IF(D11="","-",+C43+1)</f>
        <v>2034</v>
      </c>
      <c r="D44" s="486">
        <f>IF(F43+SUM(E$17:E43)=D$10,F43,D$10-SUM(E$17:E43))</f>
        <v>30938.898026221745</v>
      </c>
      <c r="E44" s="485">
        <f>IF(+I14&lt;F43,I14,D44)</f>
        <v>1687.2325581395348</v>
      </c>
      <c r="F44" s="486">
        <f t="shared" si="13"/>
        <v>29251.66546808221</v>
      </c>
      <c r="G44" s="487">
        <f t="shared" si="14"/>
        <v>5149.8853844882724</v>
      </c>
      <c r="H44" s="456">
        <f t="shared" si="15"/>
        <v>5149.8853844882724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4"/>
        <v/>
      </c>
      <c r="C45" s="473">
        <f>IF(D11="","-",+C44+1)</f>
        <v>2035</v>
      </c>
      <c r="D45" s="486">
        <f>IF(F44+SUM(E$17:E44)=D$10,F44,D$10-SUM(E$17:E44))</f>
        <v>29251.66546808221</v>
      </c>
      <c r="E45" s="485">
        <f>IF(+I14&lt;F44,I14,D45)</f>
        <v>1687.2325581395348</v>
      </c>
      <c r="F45" s="486">
        <f t="shared" si="13"/>
        <v>27564.432909942676</v>
      </c>
      <c r="G45" s="487">
        <f t="shared" si="14"/>
        <v>4955.7585896227502</v>
      </c>
      <c r="H45" s="456">
        <f t="shared" si="15"/>
        <v>4955.7585896227502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4"/>
        <v/>
      </c>
      <c r="C46" s="473">
        <f>IF(D11="","-",+C45+1)</f>
        <v>2036</v>
      </c>
      <c r="D46" s="486">
        <f>IF(F45+SUM(E$17:E45)=D$10,F45,D$10-SUM(E$17:E45))</f>
        <v>27564.432909942676</v>
      </c>
      <c r="E46" s="485">
        <f>IF(+I14&lt;F45,I14,D46)</f>
        <v>1687.2325581395348</v>
      </c>
      <c r="F46" s="486">
        <f t="shared" si="13"/>
        <v>25877.200351803142</v>
      </c>
      <c r="G46" s="487">
        <f t="shared" si="14"/>
        <v>4761.6317947572279</v>
      </c>
      <c r="H46" s="456">
        <f t="shared" si="15"/>
        <v>4761.6317947572279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4"/>
        <v/>
      </c>
      <c r="C47" s="473">
        <f>IF(D11="","-",+C46+1)</f>
        <v>2037</v>
      </c>
      <c r="D47" s="486">
        <f>IF(F46+SUM(E$17:E46)=D$10,F46,D$10-SUM(E$17:E46))</f>
        <v>25877.200351803142</v>
      </c>
      <c r="E47" s="485">
        <f>IF(+I14&lt;F46,I14,D47)</f>
        <v>1687.2325581395348</v>
      </c>
      <c r="F47" s="486">
        <f t="shared" si="13"/>
        <v>24189.967793663607</v>
      </c>
      <c r="G47" s="487">
        <f t="shared" si="14"/>
        <v>4567.5049998917057</v>
      </c>
      <c r="H47" s="456">
        <f t="shared" si="15"/>
        <v>4567.5049998917057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4"/>
        <v/>
      </c>
      <c r="C48" s="473">
        <f>IF(D11="","-",+C47+1)</f>
        <v>2038</v>
      </c>
      <c r="D48" s="486">
        <f>IF(F47+SUM(E$17:E47)=D$10,F47,D$10-SUM(E$17:E47))</f>
        <v>24189.967793663607</v>
      </c>
      <c r="E48" s="485">
        <f>IF(+I14&lt;F47,I14,D48)</f>
        <v>1687.2325581395348</v>
      </c>
      <c r="F48" s="486">
        <f t="shared" si="13"/>
        <v>22502.735235524073</v>
      </c>
      <c r="G48" s="487">
        <f t="shared" si="14"/>
        <v>4373.3782050261834</v>
      </c>
      <c r="H48" s="456">
        <f t="shared" si="15"/>
        <v>4373.3782050261834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4"/>
        <v/>
      </c>
      <c r="C49" s="473">
        <f>IF(D11="","-",+C48+1)</f>
        <v>2039</v>
      </c>
      <c r="D49" s="486">
        <f>IF(F48+SUM(E$17:E48)=D$10,F48,D$10-SUM(E$17:E48))</f>
        <v>22502.735235524073</v>
      </c>
      <c r="E49" s="485">
        <f>IF(+I14&lt;F48,I14,D49)</f>
        <v>1687.2325581395348</v>
      </c>
      <c r="F49" s="486">
        <f t="shared" ref="F49:F72" si="16">+D49-E49</f>
        <v>20815.502677384538</v>
      </c>
      <c r="G49" s="487">
        <f t="shared" si="14"/>
        <v>4179.2514101606612</v>
      </c>
      <c r="H49" s="456">
        <f t="shared" si="15"/>
        <v>4179.2514101606612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si="4"/>
        <v/>
      </c>
      <c r="C50" s="473">
        <f>IF(D11="","-",+C49+1)</f>
        <v>2040</v>
      </c>
      <c r="D50" s="486">
        <f>IF(F49+SUM(E$17:E49)=D$10,F49,D$10-SUM(E$17:E49))</f>
        <v>20815.502677384538</v>
      </c>
      <c r="E50" s="485">
        <f>IF(+I14&lt;F49,I14,D50)</f>
        <v>1687.2325581395348</v>
      </c>
      <c r="F50" s="486">
        <f t="shared" si="16"/>
        <v>19128.270119245004</v>
      </c>
      <c r="G50" s="487">
        <f t="shared" si="14"/>
        <v>3985.1246152951389</v>
      </c>
      <c r="H50" s="456">
        <f t="shared" si="15"/>
        <v>3985.1246152951389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4"/>
        <v/>
      </c>
      <c r="C51" s="473">
        <f>IF(D11="","-",+C50+1)</f>
        <v>2041</v>
      </c>
      <c r="D51" s="486">
        <f>IF(F50+SUM(E$17:E50)=D$10,F50,D$10-SUM(E$17:E50))</f>
        <v>19128.270119245004</v>
      </c>
      <c r="E51" s="485">
        <f>IF(+I14&lt;F50,I14,D51)</f>
        <v>1687.2325581395348</v>
      </c>
      <c r="F51" s="486">
        <f t="shared" si="16"/>
        <v>17441.03756110547</v>
      </c>
      <c r="G51" s="487">
        <f t="shared" si="14"/>
        <v>3790.9978204296167</v>
      </c>
      <c r="H51" s="456">
        <f t="shared" si="15"/>
        <v>3790.9978204296167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4"/>
        <v/>
      </c>
      <c r="C52" s="473">
        <f>IF(D11="","-",+C51+1)</f>
        <v>2042</v>
      </c>
      <c r="D52" s="486">
        <f>IF(F51+SUM(E$17:E51)=D$10,F51,D$10-SUM(E$17:E51))</f>
        <v>17441.03756110547</v>
      </c>
      <c r="E52" s="485">
        <f>IF(+I14&lt;F51,I14,D52)</f>
        <v>1687.2325581395348</v>
      </c>
      <c r="F52" s="486">
        <f t="shared" si="16"/>
        <v>15753.805002965935</v>
      </c>
      <c r="G52" s="487">
        <f t="shared" si="14"/>
        <v>3596.8710255640945</v>
      </c>
      <c r="H52" s="456">
        <f t="shared" si="15"/>
        <v>3596.8710255640945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4"/>
        <v/>
      </c>
      <c r="C53" s="473">
        <f>IF(D11="","-",+C52+1)</f>
        <v>2043</v>
      </c>
      <c r="D53" s="486">
        <f>IF(F52+SUM(E$17:E52)=D$10,F52,D$10-SUM(E$17:E52))</f>
        <v>15753.805002965935</v>
      </c>
      <c r="E53" s="485">
        <f>IF(+I14&lt;F52,I14,D53)</f>
        <v>1687.2325581395348</v>
      </c>
      <c r="F53" s="486">
        <f t="shared" si="16"/>
        <v>14066.572444826401</v>
      </c>
      <c r="G53" s="487">
        <f t="shared" si="14"/>
        <v>3402.7442306985722</v>
      </c>
      <c r="H53" s="456">
        <f t="shared" si="15"/>
        <v>3402.7442306985722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4"/>
        <v/>
      </c>
      <c r="C54" s="473">
        <f>IF(D11="","-",+C53+1)</f>
        <v>2044</v>
      </c>
      <c r="D54" s="486">
        <f>IF(F53+SUM(E$17:E53)=D$10,F53,D$10-SUM(E$17:E53))</f>
        <v>14066.572444826401</v>
      </c>
      <c r="E54" s="485">
        <f>IF(+I14&lt;F53,I14,D54)</f>
        <v>1687.2325581395348</v>
      </c>
      <c r="F54" s="486">
        <f t="shared" si="16"/>
        <v>12379.339886686867</v>
      </c>
      <c r="G54" s="487">
        <f t="shared" si="14"/>
        <v>3208.61743583305</v>
      </c>
      <c r="H54" s="456">
        <f t="shared" si="15"/>
        <v>3208.61743583305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4"/>
        <v/>
      </c>
      <c r="C55" s="473">
        <f>IF(D11="","-",+C54+1)</f>
        <v>2045</v>
      </c>
      <c r="D55" s="486">
        <f>IF(F54+SUM(E$17:E54)=D$10,F54,D$10-SUM(E$17:E54))</f>
        <v>12379.339886686867</v>
      </c>
      <c r="E55" s="485">
        <f>IF(+I14&lt;F54,I14,D55)</f>
        <v>1687.2325581395348</v>
      </c>
      <c r="F55" s="486">
        <f t="shared" si="16"/>
        <v>10692.107328547332</v>
      </c>
      <c r="G55" s="487">
        <f t="shared" si="14"/>
        <v>3014.4906409675273</v>
      </c>
      <c r="H55" s="456">
        <f t="shared" si="15"/>
        <v>3014.4906409675273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4"/>
        <v/>
      </c>
      <c r="C56" s="473">
        <f>IF(D11="","-",+C55+1)</f>
        <v>2046</v>
      </c>
      <c r="D56" s="486">
        <f>IF(F55+SUM(E$17:E55)=D$10,F55,D$10-SUM(E$17:E55))</f>
        <v>10692.107328547332</v>
      </c>
      <c r="E56" s="485">
        <f>IF(+I14&lt;F55,I14,D56)</f>
        <v>1687.2325581395348</v>
      </c>
      <c r="F56" s="486">
        <f t="shared" si="16"/>
        <v>9004.8747704077978</v>
      </c>
      <c r="G56" s="487">
        <f t="shared" si="14"/>
        <v>2820.363846102005</v>
      </c>
      <c r="H56" s="456">
        <f t="shared" si="15"/>
        <v>2820.363846102005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4"/>
        <v/>
      </c>
      <c r="C57" s="473">
        <f>IF(D11="","-",+C56+1)</f>
        <v>2047</v>
      </c>
      <c r="D57" s="486">
        <f>IF(F56+SUM(E$17:E56)=D$10,F56,D$10-SUM(E$17:E56))</f>
        <v>9004.8747704077978</v>
      </c>
      <c r="E57" s="485">
        <f>IF(+I14&lt;F56,I14,D57)</f>
        <v>1687.2325581395348</v>
      </c>
      <c r="F57" s="486">
        <f t="shared" si="16"/>
        <v>7317.6422122682634</v>
      </c>
      <c r="G57" s="487">
        <f t="shared" si="14"/>
        <v>2626.2370512364828</v>
      </c>
      <c r="H57" s="456">
        <f t="shared" si="15"/>
        <v>2626.2370512364828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4"/>
        <v/>
      </c>
      <c r="C58" s="473">
        <f>IF(D11="","-",+C57+1)</f>
        <v>2048</v>
      </c>
      <c r="D58" s="486">
        <f>IF(F57+SUM(E$17:E57)=D$10,F57,D$10-SUM(E$17:E57))</f>
        <v>7317.6422122682634</v>
      </c>
      <c r="E58" s="485">
        <f>IF(+I14&lt;F57,I14,D58)</f>
        <v>1687.2325581395348</v>
      </c>
      <c r="F58" s="486">
        <f t="shared" si="16"/>
        <v>5630.409654128729</v>
      </c>
      <c r="G58" s="487">
        <f t="shared" si="14"/>
        <v>2432.1102563709601</v>
      </c>
      <c r="H58" s="456">
        <f t="shared" si="15"/>
        <v>2432.1102563709601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4"/>
        <v/>
      </c>
      <c r="C59" s="473">
        <f>IF(D11="","-",+C58+1)</f>
        <v>2049</v>
      </c>
      <c r="D59" s="486">
        <f>IF(F58+SUM(E$17:E58)=D$10,F58,D$10-SUM(E$17:E58))</f>
        <v>5630.409654128729</v>
      </c>
      <c r="E59" s="485">
        <f>IF(+I14&lt;F58,I14,D59)</f>
        <v>1687.2325581395348</v>
      </c>
      <c r="F59" s="486">
        <f t="shared" si="16"/>
        <v>3943.1770959891942</v>
      </c>
      <c r="G59" s="487">
        <f t="shared" si="14"/>
        <v>2237.9834615054378</v>
      </c>
      <c r="H59" s="456">
        <f t="shared" si="15"/>
        <v>2237.9834615054378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4"/>
        <v/>
      </c>
      <c r="C60" s="473">
        <f>IF(D11="","-",+C59+1)</f>
        <v>2050</v>
      </c>
      <c r="D60" s="486">
        <f>IF(F59+SUM(E$17:E59)=D$10,F59,D$10-SUM(E$17:E59))</f>
        <v>3943.1770959891942</v>
      </c>
      <c r="E60" s="485">
        <f>IF(+I14&lt;F59,I14,D60)</f>
        <v>1687.2325581395348</v>
      </c>
      <c r="F60" s="486">
        <f t="shared" si="16"/>
        <v>2255.9445378496594</v>
      </c>
      <c r="G60" s="487">
        <f t="shared" si="14"/>
        <v>2043.8566666399156</v>
      </c>
      <c r="H60" s="456">
        <f t="shared" si="15"/>
        <v>2043.8566666399156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4"/>
        <v/>
      </c>
      <c r="C61" s="473">
        <f>IF(D11="","-",+C60+1)</f>
        <v>2051</v>
      </c>
      <c r="D61" s="486">
        <f>IF(F60+SUM(E$17:E60)=D$10,F60,D$10-SUM(E$17:E60))</f>
        <v>2255.9445378496594</v>
      </c>
      <c r="E61" s="485">
        <f>IF(+I14&lt;F60,I14,D61)</f>
        <v>1687.2325581395348</v>
      </c>
      <c r="F61" s="486">
        <f t="shared" si="16"/>
        <v>568.71197971012452</v>
      </c>
      <c r="G61" s="487">
        <f t="shared" si="14"/>
        <v>1849.7298717743934</v>
      </c>
      <c r="H61" s="456">
        <f t="shared" si="15"/>
        <v>1849.7298717743934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4"/>
        <v/>
      </c>
      <c r="C62" s="473">
        <f>IF(D11="","-",+C61+1)</f>
        <v>2052</v>
      </c>
      <c r="D62" s="486">
        <f>IF(F61+SUM(E$17:E61)=D$10,F61,D$10-SUM(E$17:E61))</f>
        <v>568.71197971012452</v>
      </c>
      <c r="E62" s="485">
        <f>IF(+I14&lt;F61,I14,D62)</f>
        <v>568.71197971012452</v>
      </c>
      <c r="F62" s="486">
        <f t="shared" si="16"/>
        <v>0</v>
      </c>
      <c r="G62" s="487">
        <f t="shared" si="14"/>
        <v>601.42893781117311</v>
      </c>
      <c r="H62" s="456">
        <f t="shared" si="15"/>
        <v>601.42893781117311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4"/>
        <v/>
      </c>
      <c r="C63" s="473">
        <f>IF(D11="","-",+C62+1)</f>
        <v>2053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6"/>
        <v>0</v>
      </c>
      <c r="G63" s="487">
        <f t="shared" si="14"/>
        <v>0</v>
      </c>
      <c r="H63" s="456">
        <f t="shared" si="15"/>
        <v>0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4"/>
        <v/>
      </c>
      <c r="C64" s="473">
        <f>IF(D11="","-",+C63+1)</f>
        <v>2054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6"/>
        <v>0</v>
      </c>
      <c r="G64" s="487">
        <f t="shared" si="14"/>
        <v>0</v>
      </c>
      <c r="H64" s="456">
        <f t="shared" si="15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4"/>
        <v/>
      </c>
      <c r="C65" s="473">
        <f>IF(D11="","-",+C64+1)</f>
        <v>2055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6"/>
        <v>0</v>
      </c>
      <c r="G65" s="487">
        <f t="shared" si="14"/>
        <v>0</v>
      </c>
      <c r="H65" s="456">
        <f t="shared" si="15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4"/>
        <v/>
      </c>
      <c r="C66" s="473">
        <f>IF(D11="","-",+C65+1)</f>
        <v>2056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6"/>
        <v>0</v>
      </c>
      <c r="G66" s="487">
        <f t="shared" si="14"/>
        <v>0</v>
      </c>
      <c r="H66" s="456">
        <f t="shared" si="15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4"/>
        <v/>
      </c>
      <c r="C67" s="473">
        <f>IF(D11="","-",+C66+1)</f>
        <v>2057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6"/>
        <v>0</v>
      </c>
      <c r="G67" s="487">
        <f t="shared" si="14"/>
        <v>0</v>
      </c>
      <c r="H67" s="456">
        <f t="shared" si="15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4"/>
        <v/>
      </c>
      <c r="C68" s="473">
        <f>IF(D11="","-",+C67+1)</f>
        <v>2058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6"/>
        <v>0</v>
      </c>
      <c r="G68" s="487">
        <f t="shared" si="14"/>
        <v>0</v>
      </c>
      <c r="H68" s="456">
        <f t="shared" si="15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4"/>
        <v/>
      </c>
      <c r="C69" s="473">
        <f>IF(D11="","-",+C68+1)</f>
        <v>2059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6"/>
        <v>0</v>
      </c>
      <c r="G69" s="487">
        <f t="shared" si="14"/>
        <v>0</v>
      </c>
      <c r="H69" s="456">
        <f t="shared" si="15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4"/>
        <v/>
      </c>
      <c r="C70" s="473">
        <f>IF(D11="","-",+C69+1)</f>
        <v>2060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6"/>
        <v>0</v>
      </c>
      <c r="G70" s="487">
        <f t="shared" si="14"/>
        <v>0</v>
      </c>
      <c r="H70" s="456">
        <f t="shared" si="15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4"/>
        <v/>
      </c>
      <c r="C71" s="473">
        <f>IF(D11="","-",+C70+1)</f>
        <v>2061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6"/>
        <v>0</v>
      </c>
      <c r="G71" s="487">
        <f t="shared" si="14"/>
        <v>0</v>
      </c>
      <c r="H71" s="456">
        <f t="shared" si="15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4"/>
        <v/>
      </c>
      <c r="C72" s="490">
        <f>IF(D11="","-",+C71+1)</f>
        <v>2062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6"/>
        <v>0</v>
      </c>
      <c r="G72" s="491">
        <f t="shared" si="14"/>
        <v>0</v>
      </c>
      <c r="H72" s="491">
        <f t="shared" si="15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72551.000000000044</v>
      </c>
      <c r="F73" s="348"/>
      <c r="G73" s="348">
        <f>SUM(G17:G72)</f>
        <v>289557.4184006186</v>
      </c>
      <c r="H73" s="348">
        <f>SUM(H17:H72)</f>
        <v>289557.4184006186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9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7531.2168125199005</v>
      </c>
      <c r="N87" s="509">
        <f>IF(J92&lt;D11,0,VLOOKUP(J92,C17:O72,11))</f>
        <v>7531.2168125199005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7916.9139971406776</v>
      </c>
      <c r="N88" s="513">
        <f>IF(J92&lt;D11,0,VLOOKUP(J92,C99:P154,7))</f>
        <v>7916.9139971406776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Tulsa Southeast Upgrade (repl switches)*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385.69718462077708</v>
      </c>
      <c r="N89" s="518">
        <f>+N88-N87</f>
        <v>385.69718462077708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TP2004033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72551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2007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4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1687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2007</v>
      </c>
      <c r="D99" s="474">
        <v>0</v>
      </c>
      <c r="E99" s="481">
        <v>0</v>
      </c>
      <c r="F99" s="480">
        <v>72551</v>
      </c>
      <c r="G99" s="538">
        <v>36276</v>
      </c>
      <c r="H99" s="539">
        <v>5762</v>
      </c>
      <c r="I99" s="540">
        <v>5762</v>
      </c>
      <c r="J99" s="479">
        <f t="shared" ref="J99:J130" si="21">+I99-H99</f>
        <v>0</v>
      </c>
      <c r="K99" s="479"/>
      <c r="L99" s="555">
        <v>0</v>
      </c>
      <c r="M99" s="478">
        <f t="shared" ref="M99:M130" si="22">IF(L99&lt;&gt;0,+H99-L99,0)</f>
        <v>0</v>
      </c>
      <c r="N99" s="555">
        <v>0</v>
      </c>
      <c r="O99" s="478">
        <f t="shared" ref="O99:O130" si="23">IF(N99&lt;&gt;0,+I99-N99,0)</f>
        <v>0</v>
      </c>
      <c r="P99" s="478">
        <f t="shared" ref="P99:P130" si="24">+O99-M99</f>
        <v>0</v>
      </c>
    </row>
    <row r="100" spans="1:16" ht="12.5">
      <c r="B100" s="160" t="str">
        <f>IF(D100=F99,"","IU")</f>
        <v/>
      </c>
      <c r="C100" s="473">
        <f>IF(D93="","-",+C99+1)</f>
        <v>2008</v>
      </c>
      <c r="D100" s="474">
        <v>72551</v>
      </c>
      <c r="E100" s="562">
        <v>1369</v>
      </c>
      <c r="F100" s="480">
        <v>71182</v>
      </c>
      <c r="G100" s="480">
        <v>71867</v>
      </c>
      <c r="H100" s="481">
        <v>12785</v>
      </c>
      <c r="I100" s="482">
        <v>12785</v>
      </c>
      <c r="J100" s="479">
        <f t="shared" si="21"/>
        <v>0</v>
      </c>
      <c r="K100" s="479"/>
      <c r="L100" s="477">
        <v>12785</v>
      </c>
      <c r="M100" s="479">
        <f t="shared" si="22"/>
        <v>0</v>
      </c>
      <c r="N100" s="477">
        <v>12785</v>
      </c>
      <c r="O100" s="479">
        <f t="shared" si="23"/>
        <v>0</v>
      </c>
      <c r="P100" s="479">
        <f t="shared" si="24"/>
        <v>0</v>
      </c>
    </row>
    <row r="101" spans="1:16" ht="12.5">
      <c r="B101" s="160" t="str">
        <f t="shared" ref="B101:B154" si="25">IF(D101=F100,"","IU")</f>
        <v/>
      </c>
      <c r="C101" s="473">
        <f>IF(D93="","-",+C100+1)</f>
        <v>2009</v>
      </c>
      <c r="D101" s="474">
        <v>71182</v>
      </c>
      <c r="E101" s="481">
        <v>1296</v>
      </c>
      <c r="F101" s="480">
        <v>69886</v>
      </c>
      <c r="G101" s="480">
        <v>70534</v>
      </c>
      <c r="H101" s="481">
        <v>11608.65494705257</v>
      </c>
      <c r="I101" s="482">
        <v>11608.65494705257</v>
      </c>
      <c r="J101" s="479">
        <f t="shared" si="21"/>
        <v>0</v>
      </c>
      <c r="K101" s="479"/>
      <c r="L101" s="541">
        <f t="shared" ref="L101:L106" si="26">H101</f>
        <v>11608.65494705257</v>
      </c>
      <c r="M101" s="542">
        <f t="shared" si="22"/>
        <v>0</v>
      </c>
      <c r="N101" s="541">
        <f t="shared" ref="N101:N106" si="27">I101</f>
        <v>11608.65494705257</v>
      </c>
      <c r="O101" s="479">
        <f t="shared" si="23"/>
        <v>0</v>
      </c>
      <c r="P101" s="479">
        <f t="shared" si="24"/>
        <v>0</v>
      </c>
    </row>
    <row r="102" spans="1:16" ht="12.5">
      <c r="B102" s="160" t="str">
        <f t="shared" si="25"/>
        <v/>
      </c>
      <c r="C102" s="473">
        <f>IF(D93="","-",+C101+1)</f>
        <v>2010</v>
      </c>
      <c r="D102" s="474">
        <v>69886</v>
      </c>
      <c r="E102" s="481">
        <v>1423</v>
      </c>
      <c r="F102" s="480">
        <v>68463</v>
      </c>
      <c r="G102" s="480">
        <v>69174.5</v>
      </c>
      <c r="H102" s="481">
        <v>12547.312556925655</v>
      </c>
      <c r="I102" s="482">
        <v>12547.312556925655</v>
      </c>
      <c r="J102" s="479">
        <f t="shared" si="21"/>
        <v>0</v>
      </c>
      <c r="K102" s="479"/>
      <c r="L102" s="541">
        <f t="shared" si="26"/>
        <v>12547.312556925655</v>
      </c>
      <c r="M102" s="542">
        <f t="shared" si="22"/>
        <v>0</v>
      </c>
      <c r="N102" s="541">
        <f t="shared" si="27"/>
        <v>12547.312556925655</v>
      </c>
      <c r="O102" s="479">
        <f t="shared" si="23"/>
        <v>0</v>
      </c>
      <c r="P102" s="479">
        <f t="shared" si="24"/>
        <v>0</v>
      </c>
    </row>
    <row r="103" spans="1:16" ht="12.5">
      <c r="B103" s="160" t="str">
        <f t="shared" si="25"/>
        <v/>
      </c>
      <c r="C103" s="473">
        <f>IF(D93="","-",+C102+1)</f>
        <v>2011</v>
      </c>
      <c r="D103" s="474">
        <v>68463</v>
      </c>
      <c r="E103" s="481">
        <v>1395</v>
      </c>
      <c r="F103" s="480">
        <v>67068</v>
      </c>
      <c r="G103" s="480">
        <v>67765.5</v>
      </c>
      <c r="H103" s="481">
        <v>10869.52752826227</v>
      </c>
      <c r="I103" s="482">
        <v>10869.52752826227</v>
      </c>
      <c r="J103" s="479">
        <f t="shared" si="21"/>
        <v>0</v>
      </c>
      <c r="K103" s="479"/>
      <c r="L103" s="541">
        <f t="shared" si="26"/>
        <v>10869.52752826227</v>
      </c>
      <c r="M103" s="542">
        <f t="shared" si="22"/>
        <v>0</v>
      </c>
      <c r="N103" s="541">
        <f t="shared" si="27"/>
        <v>10869.52752826227</v>
      </c>
      <c r="O103" s="479">
        <f t="shared" si="23"/>
        <v>0</v>
      </c>
      <c r="P103" s="479">
        <f t="shared" si="24"/>
        <v>0</v>
      </c>
    </row>
    <row r="104" spans="1:16" ht="12.5">
      <c r="B104" s="160" t="str">
        <f t="shared" si="25"/>
        <v/>
      </c>
      <c r="C104" s="473">
        <f>IF(D93="","-",+C103+1)</f>
        <v>2012</v>
      </c>
      <c r="D104" s="474">
        <v>67068</v>
      </c>
      <c r="E104" s="481">
        <v>1395</v>
      </c>
      <c r="F104" s="480">
        <v>65673</v>
      </c>
      <c r="G104" s="480">
        <v>66370.5</v>
      </c>
      <c r="H104" s="481">
        <v>10942.760254640152</v>
      </c>
      <c r="I104" s="482">
        <v>10942.760254640152</v>
      </c>
      <c r="J104" s="479">
        <v>0</v>
      </c>
      <c r="K104" s="479"/>
      <c r="L104" s="541">
        <f t="shared" si="26"/>
        <v>10942.760254640152</v>
      </c>
      <c r="M104" s="542">
        <f t="shared" ref="M104:M109" si="28">IF(L104&lt;&gt;0,+H104-L104,0)</f>
        <v>0</v>
      </c>
      <c r="N104" s="541">
        <f t="shared" si="27"/>
        <v>10942.760254640152</v>
      </c>
      <c r="O104" s="479">
        <f t="shared" ref="O104:O109" si="29">IF(N104&lt;&gt;0,+I104-N104,0)</f>
        <v>0</v>
      </c>
      <c r="P104" s="479">
        <f t="shared" ref="P104:P109" si="30">+O104-M104</f>
        <v>0</v>
      </c>
    </row>
    <row r="105" spans="1:16" ht="12.5">
      <c r="B105" s="160" t="str">
        <f t="shared" si="25"/>
        <v/>
      </c>
      <c r="C105" s="473">
        <f>IF(D93="","-",+C104+1)</f>
        <v>2013</v>
      </c>
      <c r="D105" s="474">
        <v>65673</v>
      </c>
      <c r="E105" s="481">
        <v>1395</v>
      </c>
      <c r="F105" s="480">
        <v>64278</v>
      </c>
      <c r="G105" s="480">
        <v>64975.5</v>
      </c>
      <c r="H105" s="481">
        <v>10747.547086020993</v>
      </c>
      <c r="I105" s="482">
        <v>10747.547086020993</v>
      </c>
      <c r="J105" s="479">
        <v>0</v>
      </c>
      <c r="K105" s="479"/>
      <c r="L105" s="541">
        <f t="shared" si="26"/>
        <v>10747.547086020993</v>
      </c>
      <c r="M105" s="542">
        <f t="shared" si="28"/>
        <v>0</v>
      </c>
      <c r="N105" s="541">
        <f t="shared" si="27"/>
        <v>10747.547086020993</v>
      </c>
      <c r="O105" s="479">
        <f t="shared" si="29"/>
        <v>0</v>
      </c>
      <c r="P105" s="479">
        <f t="shared" si="30"/>
        <v>0</v>
      </c>
    </row>
    <row r="106" spans="1:16" ht="12.5">
      <c r="B106" s="160" t="str">
        <f t="shared" si="25"/>
        <v/>
      </c>
      <c r="C106" s="473">
        <f>IF(D93="","-",+C105+1)</f>
        <v>2014</v>
      </c>
      <c r="D106" s="474">
        <v>64278</v>
      </c>
      <c r="E106" s="481">
        <v>1395</v>
      </c>
      <c r="F106" s="480">
        <v>62883</v>
      </c>
      <c r="G106" s="480">
        <v>63580.5</v>
      </c>
      <c r="H106" s="481">
        <v>10334.158398344916</v>
      </c>
      <c r="I106" s="482">
        <v>10334.158398344916</v>
      </c>
      <c r="J106" s="479">
        <v>0</v>
      </c>
      <c r="K106" s="479"/>
      <c r="L106" s="541">
        <f t="shared" si="26"/>
        <v>10334.158398344916</v>
      </c>
      <c r="M106" s="542">
        <f t="shared" si="28"/>
        <v>0</v>
      </c>
      <c r="N106" s="541">
        <f t="shared" si="27"/>
        <v>10334.158398344916</v>
      </c>
      <c r="O106" s="479">
        <f t="shared" si="29"/>
        <v>0</v>
      </c>
      <c r="P106" s="479">
        <f t="shared" si="30"/>
        <v>0</v>
      </c>
    </row>
    <row r="107" spans="1:16" ht="12.5">
      <c r="B107" s="160" t="str">
        <f t="shared" si="25"/>
        <v/>
      </c>
      <c r="C107" s="473">
        <f>IF(D93="","-",+C106+1)</f>
        <v>2015</v>
      </c>
      <c r="D107" s="474">
        <v>62883</v>
      </c>
      <c r="E107" s="481">
        <v>1395</v>
      </c>
      <c r="F107" s="480">
        <v>61488</v>
      </c>
      <c r="G107" s="480">
        <v>62185.5</v>
      </c>
      <c r="H107" s="481">
        <v>9879.7114789405332</v>
      </c>
      <c r="I107" s="482">
        <v>9879.7114789405332</v>
      </c>
      <c r="J107" s="479">
        <f t="shared" si="21"/>
        <v>0</v>
      </c>
      <c r="K107" s="479"/>
      <c r="L107" s="541">
        <f>H107</f>
        <v>9879.7114789405332</v>
      </c>
      <c r="M107" s="542">
        <f t="shared" si="28"/>
        <v>0</v>
      </c>
      <c r="N107" s="541">
        <f>I107</f>
        <v>9879.7114789405332</v>
      </c>
      <c r="O107" s="479">
        <f t="shared" si="29"/>
        <v>0</v>
      </c>
      <c r="P107" s="479">
        <f t="shared" si="30"/>
        <v>0</v>
      </c>
    </row>
    <row r="108" spans="1:16" ht="12.5">
      <c r="B108" s="160" t="str">
        <f t="shared" si="25"/>
        <v/>
      </c>
      <c r="C108" s="473">
        <f>IF(D93="","-",+C107+1)</f>
        <v>2016</v>
      </c>
      <c r="D108" s="474">
        <v>61488</v>
      </c>
      <c r="E108" s="481">
        <v>1577</v>
      </c>
      <c r="F108" s="480">
        <v>59911</v>
      </c>
      <c r="G108" s="480">
        <v>60699.5</v>
      </c>
      <c r="H108" s="481">
        <v>9402.1214987986186</v>
      </c>
      <c r="I108" s="482">
        <v>9402.1214987986186</v>
      </c>
      <c r="J108" s="479">
        <f t="shared" si="21"/>
        <v>0</v>
      </c>
      <c r="K108" s="479"/>
      <c r="L108" s="541">
        <f>H108</f>
        <v>9402.1214987986186</v>
      </c>
      <c r="M108" s="542">
        <f t="shared" si="28"/>
        <v>0</v>
      </c>
      <c r="N108" s="541">
        <f>I108</f>
        <v>9402.1214987986186</v>
      </c>
      <c r="O108" s="479">
        <f t="shared" si="29"/>
        <v>0</v>
      </c>
      <c r="P108" s="479">
        <f t="shared" si="30"/>
        <v>0</v>
      </c>
    </row>
    <row r="109" spans="1:16" ht="12.5">
      <c r="B109" s="160" t="str">
        <f t="shared" si="25"/>
        <v/>
      </c>
      <c r="C109" s="473">
        <f>IF(D93="","-",+C108+1)</f>
        <v>2017</v>
      </c>
      <c r="D109" s="474">
        <v>59911</v>
      </c>
      <c r="E109" s="481">
        <v>1577</v>
      </c>
      <c r="F109" s="480">
        <v>58334</v>
      </c>
      <c r="G109" s="480">
        <v>59122.5</v>
      </c>
      <c r="H109" s="481">
        <v>9076.8382024367129</v>
      </c>
      <c r="I109" s="482">
        <v>9076.8382024367129</v>
      </c>
      <c r="J109" s="479">
        <f t="shared" si="21"/>
        <v>0</v>
      </c>
      <c r="K109" s="479"/>
      <c r="L109" s="541">
        <f>H109</f>
        <v>9076.8382024367129</v>
      </c>
      <c r="M109" s="542">
        <f t="shared" si="28"/>
        <v>0</v>
      </c>
      <c r="N109" s="541">
        <f>I109</f>
        <v>9076.8382024367129</v>
      </c>
      <c r="O109" s="479">
        <f t="shared" si="29"/>
        <v>0</v>
      </c>
      <c r="P109" s="479">
        <f t="shared" si="30"/>
        <v>0</v>
      </c>
    </row>
    <row r="110" spans="1:16" ht="12.5">
      <c r="B110" s="160" t="str">
        <f t="shared" si="25"/>
        <v/>
      </c>
      <c r="C110" s="473">
        <f>IF(D93="","-",+C109+1)</f>
        <v>2018</v>
      </c>
      <c r="D110" s="474">
        <v>58334</v>
      </c>
      <c r="E110" s="481">
        <v>1687</v>
      </c>
      <c r="F110" s="480">
        <v>56647</v>
      </c>
      <c r="G110" s="480">
        <v>57490.5</v>
      </c>
      <c r="H110" s="481">
        <v>7593.3191046629281</v>
      </c>
      <c r="I110" s="482">
        <v>7593.3191046629281</v>
      </c>
      <c r="J110" s="479">
        <f t="shared" si="21"/>
        <v>0</v>
      </c>
      <c r="K110" s="479"/>
      <c r="L110" s="541">
        <f>H110</f>
        <v>7593.3191046629281</v>
      </c>
      <c r="M110" s="542">
        <f t="shared" ref="M110" si="31">IF(L110&lt;&gt;0,+H110-L110,0)</f>
        <v>0</v>
      </c>
      <c r="N110" s="541">
        <f>I110</f>
        <v>7593.3191046629281</v>
      </c>
      <c r="O110" s="479">
        <f t="shared" ref="O110" si="32">IF(N110&lt;&gt;0,+I110-N110,0)</f>
        <v>0</v>
      </c>
      <c r="P110" s="479">
        <f t="shared" ref="P110" si="33">+O110-M110</f>
        <v>0</v>
      </c>
    </row>
    <row r="111" spans="1:16" ht="12.5">
      <c r="B111" s="160" t="str">
        <f t="shared" si="25"/>
        <v/>
      </c>
      <c r="C111" s="473">
        <f>IF(D93="","-",+C110+1)</f>
        <v>2019</v>
      </c>
      <c r="D111" s="474">
        <v>56647</v>
      </c>
      <c r="E111" s="481">
        <v>1770</v>
      </c>
      <c r="F111" s="480">
        <v>54877</v>
      </c>
      <c r="G111" s="480">
        <v>55762</v>
      </c>
      <c r="H111" s="481">
        <v>7519.8443223081076</v>
      </c>
      <c r="I111" s="482">
        <v>7519.8443223081076</v>
      </c>
      <c r="J111" s="479">
        <f t="shared" si="21"/>
        <v>0</v>
      </c>
      <c r="K111" s="479"/>
      <c r="L111" s="541">
        <f>H111</f>
        <v>7519.8443223081076</v>
      </c>
      <c r="M111" s="542">
        <f t="shared" ref="M111" si="34">IF(L111&lt;&gt;0,+H111-L111,0)</f>
        <v>0</v>
      </c>
      <c r="N111" s="541">
        <f>I111</f>
        <v>7519.8443223081076</v>
      </c>
      <c r="O111" s="479">
        <f t="shared" si="23"/>
        <v>0</v>
      </c>
      <c r="P111" s="479">
        <f t="shared" si="24"/>
        <v>0</v>
      </c>
    </row>
    <row r="112" spans="1:16" ht="12.5">
      <c r="B112" s="160" t="str">
        <f t="shared" si="25"/>
        <v/>
      </c>
      <c r="C112" s="473">
        <f>IF(D93="","-",+C111+1)</f>
        <v>2020</v>
      </c>
      <c r="D112" s="347">
        <f>IF(F111+SUM(E$99:E111)=D$92,F111,D$92-SUM(E$99:E111))</f>
        <v>54877</v>
      </c>
      <c r="E112" s="487">
        <f>IF(+J96&lt;F111,J96,D112)</f>
        <v>1687</v>
      </c>
      <c r="F112" s="486">
        <f t="shared" ref="F112:F154" si="35">+D112-E112</f>
        <v>53190</v>
      </c>
      <c r="G112" s="486">
        <f t="shared" ref="G112:G154" si="36">+(F112+D112)/2</f>
        <v>54033.5</v>
      </c>
      <c r="H112" s="487">
        <f>(D112+F112)/2*J$94+E112</f>
        <v>7916.9139971406776</v>
      </c>
      <c r="I112" s="543">
        <f t="shared" ref="I112" si="37">+J$95*G112+E112</f>
        <v>7916.9139971406776</v>
      </c>
      <c r="J112" s="479">
        <f t="shared" si="21"/>
        <v>0</v>
      </c>
      <c r="K112" s="479"/>
      <c r="L112" s="488"/>
      <c r="M112" s="479">
        <f t="shared" si="22"/>
        <v>0</v>
      </c>
      <c r="N112" s="488"/>
      <c r="O112" s="479">
        <f t="shared" si="23"/>
        <v>0</v>
      </c>
      <c r="P112" s="479">
        <f t="shared" si="24"/>
        <v>0</v>
      </c>
    </row>
    <row r="113" spans="2:16" ht="12.5">
      <c r="B113" s="160" t="str">
        <f t="shared" si="25"/>
        <v/>
      </c>
      <c r="C113" s="473">
        <f>IF(D93="","-",+C112+1)</f>
        <v>2021</v>
      </c>
      <c r="D113" s="347">
        <f>IF(F112+SUM(E$99:E112)=D$92,F112,D$92-SUM(E$99:E112))</f>
        <v>53190</v>
      </c>
      <c r="E113" s="487">
        <f>IF(+J96&lt;F112,J96,D113)</f>
        <v>1687</v>
      </c>
      <c r="F113" s="486">
        <f t="shared" si="35"/>
        <v>51503</v>
      </c>
      <c r="G113" s="486">
        <f t="shared" si="36"/>
        <v>52346.5</v>
      </c>
      <c r="H113" s="487">
        <f t="shared" ref="H113:H153" si="38">(D113+F113)/2*J$94+E113</f>
        <v>7722.4075351647498</v>
      </c>
      <c r="I113" s="543">
        <f t="shared" ref="I113:I153" si="39">+J$95*G113+E113</f>
        <v>7722.4075351647498</v>
      </c>
      <c r="J113" s="479">
        <f t="shared" si="21"/>
        <v>0</v>
      </c>
      <c r="K113" s="479"/>
      <c r="L113" s="488"/>
      <c r="M113" s="479">
        <f t="shared" si="22"/>
        <v>0</v>
      </c>
      <c r="N113" s="488"/>
      <c r="O113" s="479">
        <f t="shared" si="23"/>
        <v>0</v>
      </c>
      <c r="P113" s="479">
        <f t="shared" si="24"/>
        <v>0</v>
      </c>
    </row>
    <row r="114" spans="2:16" ht="12.5">
      <c r="B114" s="160" t="str">
        <f t="shared" si="25"/>
        <v/>
      </c>
      <c r="C114" s="473">
        <f>IF(D93="","-",+C113+1)</f>
        <v>2022</v>
      </c>
      <c r="D114" s="347">
        <f>IF(F113+SUM(E$99:E113)=D$92,F113,D$92-SUM(E$99:E113))</f>
        <v>51503</v>
      </c>
      <c r="E114" s="487">
        <f>IF(+J96&lt;F113,J96,D114)</f>
        <v>1687</v>
      </c>
      <c r="F114" s="486">
        <f t="shared" si="35"/>
        <v>49816</v>
      </c>
      <c r="G114" s="486">
        <f t="shared" si="36"/>
        <v>50659.5</v>
      </c>
      <c r="H114" s="487">
        <f t="shared" si="38"/>
        <v>7527.9010731888211</v>
      </c>
      <c r="I114" s="543">
        <f t="shared" si="39"/>
        <v>7527.9010731888211</v>
      </c>
      <c r="J114" s="479">
        <f t="shared" si="21"/>
        <v>0</v>
      </c>
      <c r="K114" s="479"/>
      <c r="L114" s="488"/>
      <c r="M114" s="479">
        <f t="shared" si="22"/>
        <v>0</v>
      </c>
      <c r="N114" s="488"/>
      <c r="O114" s="479">
        <f t="shared" si="23"/>
        <v>0</v>
      </c>
      <c r="P114" s="479">
        <f t="shared" si="24"/>
        <v>0</v>
      </c>
    </row>
    <row r="115" spans="2:16" ht="12.5">
      <c r="B115" s="160" t="str">
        <f t="shared" si="25"/>
        <v/>
      </c>
      <c r="C115" s="473">
        <f>IF(D93="","-",+C114+1)</f>
        <v>2023</v>
      </c>
      <c r="D115" s="347">
        <f>IF(F114+SUM(E$99:E114)=D$92,F114,D$92-SUM(E$99:E114))</f>
        <v>49816</v>
      </c>
      <c r="E115" s="487">
        <f>IF(+J96&lt;F114,J96,D115)</f>
        <v>1687</v>
      </c>
      <c r="F115" s="486">
        <f t="shared" si="35"/>
        <v>48129</v>
      </c>
      <c r="G115" s="486">
        <f t="shared" si="36"/>
        <v>48972.5</v>
      </c>
      <c r="H115" s="487">
        <f t="shared" si="38"/>
        <v>7333.3946112128924</v>
      </c>
      <c r="I115" s="543">
        <f t="shared" si="39"/>
        <v>7333.3946112128924</v>
      </c>
      <c r="J115" s="479">
        <f t="shared" si="21"/>
        <v>0</v>
      </c>
      <c r="K115" s="479"/>
      <c r="L115" s="488"/>
      <c r="M115" s="479">
        <f t="shared" si="22"/>
        <v>0</v>
      </c>
      <c r="N115" s="488"/>
      <c r="O115" s="479">
        <f t="shared" si="23"/>
        <v>0</v>
      </c>
      <c r="P115" s="479">
        <f t="shared" si="24"/>
        <v>0</v>
      </c>
    </row>
    <row r="116" spans="2:16" ht="12.5">
      <c r="B116" s="160" t="str">
        <f t="shared" si="25"/>
        <v/>
      </c>
      <c r="C116" s="473">
        <f>IF(D93="","-",+C115+1)</f>
        <v>2024</v>
      </c>
      <c r="D116" s="347">
        <f>IF(F115+SUM(E$99:E115)=D$92,F115,D$92-SUM(E$99:E115))</f>
        <v>48129</v>
      </c>
      <c r="E116" s="487">
        <f>IF(+J96&lt;F115,J96,D116)</f>
        <v>1687</v>
      </c>
      <c r="F116" s="486">
        <f t="shared" si="35"/>
        <v>46442</v>
      </c>
      <c r="G116" s="486">
        <f t="shared" si="36"/>
        <v>47285.5</v>
      </c>
      <c r="H116" s="487">
        <f t="shared" si="38"/>
        <v>7138.8881492369646</v>
      </c>
      <c r="I116" s="543">
        <f t="shared" si="39"/>
        <v>7138.8881492369646</v>
      </c>
      <c r="J116" s="479">
        <f t="shared" si="21"/>
        <v>0</v>
      </c>
      <c r="K116" s="479"/>
      <c r="L116" s="488"/>
      <c r="M116" s="479">
        <f t="shared" si="22"/>
        <v>0</v>
      </c>
      <c r="N116" s="488"/>
      <c r="O116" s="479">
        <f t="shared" si="23"/>
        <v>0</v>
      </c>
      <c r="P116" s="479">
        <f t="shared" si="24"/>
        <v>0</v>
      </c>
    </row>
    <row r="117" spans="2:16" ht="12.5">
      <c r="B117" s="160" t="str">
        <f t="shared" si="25"/>
        <v/>
      </c>
      <c r="C117" s="473">
        <f>IF(D93="","-",+C116+1)</f>
        <v>2025</v>
      </c>
      <c r="D117" s="347">
        <f>IF(F116+SUM(E$99:E116)=D$92,F116,D$92-SUM(E$99:E116))</f>
        <v>46442</v>
      </c>
      <c r="E117" s="487">
        <f>IF(+J96&lt;F116,J96,D117)</f>
        <v>1687</v>
      </c>
      <c r="F117" s="486">
        <f t="shared" si="35"/>
        <v>44755</v>
      </c>
      <c r="G117" s="486">
        <f t="shared" si="36"/>
        <v>45598.5</v>
      </c>
      <c r="H117" s="487">
        <f t="shared" si="38"/>
        <v>6944.3816872610359</v>
      </c>
      <c r="I117" s="543">
        <f t="shared" si="39"/>
        <v>6944.3816872610359</v>
      </c>
      <c r="J117" s="479">
        <f t="shared" si="21"/>
        <v>0</v>
      </c>
      <c r="K117" s="479"/>
      <c r="L117" s="488"/>
      <c r="M117" s="479">
        <f t="shared" si="22"/>
        <v>0</v>
      </c>
      <c r="N117" s="488"/>
      <c r="O117" s="479">
        <f t="shared" si="23"/>
        <v>0</v>
      </c>
      <c r="P117" s="479">
        <f t="shared" si="24"/>
        <v>0</v>
      </c>
    </row>
    <row r="118" spans="2:16" ht="12.5">
      <c r="B118" s="160" t="str">
        <f t="shared" si="25"/>
        <v/>
      </c>
      <c r="C118" s="473">
        <f>IF(D93="","-",+C117+1)</f>
        <v>2026</v>
      </c>
      <c r="D118" s="347">
        <f>IF(F117+SUM(E$99:E117)=D$92,F117,D$92-SUM(E$99:E117))</f>
        <v>44755</v>
      </c>
      <c r="E118" s="487">
        <f>IF(+J96&lt;F117,J96,D118)</f>
        <v>1687</v>
      </c>
      <c r="F118" s="486">
        <f t="shared" si="35"/>
        <v>43068</v>
      </c>
      <c r="G118" s="486">
        <f t="shared" si="36"/>
        <v>43911.5</v>
      </c>
      <c r="H118" s="487">
        <f t="shared" si="38"/>
        <v>6749.8752252851082</v>
      </c>
      <c r="I118" s="543">
        <f t="shared" si="39"/>
        <v>6749.8752252851082</v>
      </c>
      <c r="J118" s="479">
        <f t="shared" si="21"/>
        <v>0</v>
      </c>
      <c r="K118" s="479"/>
      <c r="L118" s="488"/>
      <c r="M118" s="479">
        <f t="shared" si="22"/>
        <v>0</v>
      </c>
      <c r="N118" s="488"/>
      <c r="O118" s="479">
        <f t="shared" si="23"/>
        <v>0</v>
      </c>
      <c r="P118" s="479">
        <f t="shared" si="24"/>
        <v>0</v>
      </c>
    </row>
    <row r="119" spans="2:16" ht="12.5">
      <c r="B119" s="160" t="str">
        <f t="shared" si="25"/>
        <v/>
      </c>
      <c r="C119" s="473">
        <f>IF(D93="","-",+C118+1)</f>
        <v>2027</v>
      </c>
      <c r="D119" s="347">
        <f>IF(F118+SUM(E$99:E118)=D$92,F118,D$92-SUM(E$99:E118))</f>
        <v>43068</v>
      </c>
      <c r="E119" s="487">
        <f>IF(+J96&lt;F118,J96,D119)</f>
        <v>1687</v>
      </c>
      <c r="F119" s="486">
        <f t="shared" si="35"/>
        <v>41381</v>
      </c>
      <c r="G119" s="486">
        <f t="shared" si="36"/>
        <v>42224.5</v>
      </c>
      <c r="H119" s="487">
        <f t="shared" si="38"/>
        <v>6555.3687633091795</v>
      </c>
      <c r="I119" s="543">
        <f t="shared" si="39"/>
        <v>6555.3687633091795</v>
      </c>
      <c r="J119" s="479">
        <f t="shared" si="21"/>
        <v>0</v>
      </c>
      <c r="K119" s="479"/>
      <c r="L119" s="488"/>
      <c r="M119" s="479">
        <f t="shared" si="22"/>
        <v>0</v>
      </c>
      <c r="N119" s="488"/>
      <c r="O119" s="479">
        <f t="shared" si="23"/>
        <v>0</v>
      </c>
      <c r="P119" s="479">
        <f t="shared" si="24"/>
        <v>0</v>
      </c>
    </row>
    <row r="120" spans="2:16" ht="12.5">
      <c r="B120" s="160" t="str">
        <f t="shared" si="25"/>
        <v/>
      </c>
      <c r="C120" s="473">
        <f>IF(D93="","-",+C119+1)</f>
        <v>2028</v>
      </c>
      <c r="D120" s="347">
        <f>IF(F119+SUM(E$99:E119)=D$92,F119,D$92-SUM(E$99:E119))</f>
        <v>41381</v>
      </c>
      <c r="E120" s="487">
        <f>IF(+J96&lt;F119,J96,D120)</f>
        <v>1687</v>
      </c>
      <c r="F120" s="486">
        <f t="shared" si="35"/>
        <v>39694</v>
      </c>
      <c r="G120" s="486">
        <f t="shared" si="36"/>
        <v>40537.5</v>
      </c>
      <c r="H120" s="487">
        <f t="shared" si="38"/>
        <v>6360.8623013332508</v>
      </c>
      <c r="I120" s="543">
        <f t="shared" si="39"/>
        <v>6360.8623013332508</v>
      </c>
      <c r="J120" s="479">
        <f t="shared" si="21"/>
        <v>0</v>
      </c>
      <c r="K120" s="479"/>
      <c r="L120" s="488"/>
      <c r="M120" s="479">
        <f t="shared" si="22"/>
        <v>0</v>
      </c>
      <c r="N120" s="488"/>
      <c r="O120" s="479">
        <f t="shared" si="23"/>
        <v>0</v>
      </c>
      <c r="P120" s="479">
        <f t="shared" si="24"/>
        <v>0</v>
      </c>
    </row>
    <row r="121" spans="2:16" ht="12.5">
      <c r="B121" s="160" t="str">
        <f t="shared" si="25"/>
        <v/>
      </c>
      <c r="C121" s="473">
        <f>IF(D93="","-",+C120+1)</f>
        <v>2029</v>
      </c>
      <c r="D121" s="347">
        <f>IF(F120+SUM(E$99:E120)=D$92,F120,D$92-SUM(E$99:E120))</f>
        <v>39694</v>
      </c>
      <c r="E121" s="487">
        <f>IF(+J96&lt;F120,J96,D121)</f>
        <v>1687</v>
      </c>
      <c r="F121" s="486">
        <f t="shared" si="35"/>
        <v>38007</v>
      </c>
      <c r="G121" s="486">
        <f t="shared" si="36"/>
        <v>38850.5</v>
      </c>
      <c r="H121" s="487">
        <f t="shared" si="38"/>
        <v>6166.355839357323</v>
      </c>
      <c r="I121" s="543">
        <f t="shared" si="39"/>
        <v>6166.355839357323</v>
      </c>
      <c r="J121" s="479">
        <f t="shared" si="21"/>
        <v>0</v>
      </c>
      <c r="K121" s="479"/>
      <c r="L121" s="488"/>
      <c r="M121" s="479">
        <f t="shared" si="22"/>
        <v>0</v>
      </c>
      <c r="N121" s="488"/>
      <c r="O121" s="479">
        <f t="shared" si="23"/>
        <v>0</v>
      </c>
      <c r="P121" s="479">
        <f t="shared" si="24"/>
        <v>0</v>
      </c>
    </row>
    <row r="122" spans="2:16" ht="12.5">
      <c r="B122" s="160" t="str">
        <f t="shared" si="25"/>
        <v/>
      </c>
      <c r="C122" s="473">
        <f>IF(D93="","-",+C121+1)</f>
        <v>2030</v>
      </c>
      <c r="D122" s="347">
        <f>IF(F121+SUM(E$99:E121)=D$92,F121,D$92-SUM(E$99:E121))</f>
        <v>38007</v>
      </c>
      <c r="E122" s="487">
        <f>IF(+J96&lt;F121,J96,D122)</f>
        <v>1687</v>
      </c>
      <c r="F122" s="486">
        <f t="shared" si="35"/>
        <v>36320</v>
      </c>
      <c r="G122" s="486">
        <f t="shared" si="36"/>
        <v>37163.5</v>
      </c>
      <c r="H122" s="487">
        <f t="shared" si="38"/>
        <v>5971.8493773813943</v>
      </c>
      <c r="I122" s="543">
        <f t="shared" si="39"/>
        <v>5971.8493773813943</v>
      </c>
      <c r="J122" s="479">
        <f t="shared" si="21"/>
        <v>0</v>
      </c>
      <c r="K122" s="479"/>
      <c r="L122" s="488"/>
      <c r="M122" s="479">
        <f t="shared" si="22"/>
        <v>0</v>
      </c>
      <c r="N122" s="488"/>
      <c r="O122" s="479">
        <f t="shared" si="23"/>
        <v>0</v>
      </c>
      <c r="P122" s="479">
        <f t="shared" si="24"/>
        <v>0</v>
      </c>
    </row>
    <row r="123" spans="2:16" ht="12.5">
      <c r="B123" s="160" t="str">
        <f t="shared" si="25"/>
        <v/>
      </c>
      <c r="C123" s="473">
        <f>IF(D93="","-",+C122+1)</f>
        <v>2031</v>
      </c>
      <c r="D123" s="347">
        <f>IF(F122+SUM(E$99:E122)=D$92,F122,D$92-SUM(E$99:E122))</f>
        <v>36320</v>
      </c>
      <c r="E123" s="487">
        <f>IF(+J96&lt;F122,J96,D123)</f>
        <v>1687</v>
      </c>
      <c r="F123" s="486">
        <f t="shared" si="35"/>
        <v>34633</v>
      </c>
      <c r="G123" s="486">
        <f t="shared" si="36"/>
        <v>35476.5</v>
      </c>
      <c r="H123" s="487">
        <f t="shared" si="38"/>
        <v>5777.3429154054666</v>
      </c>
      <c r="I123" s="543">
        <f t="shared" si="39"/>
        <v>5777.3429154054666</v>
      </c>
      <c r="J123" s="479">
        <f t="shared" si="21"/>
        <v>0</v>
      </c>
      <c r="K123" s="479"/>
      <c r="L123" s="488"/>
      <c r="M123" s="479">
        <f t="shared" si="22"/>
        <v>0</v>
      </c>
      <c r="N123" s="488"/>
      <c r="O123" s="479">
        <f t="shared" si="23"/>
        <v>0</v>
      </c>
      <c r="P123" s="479">
        <f t="shared" si="24"/>
        <v>0</v>
      </c>
    </row>
    <row r="124" spans="2:16" ht="12.5">
      <c r="B124" s="160" t="str">
        <f t="shared" si="25"/>
        <v/>
      </c>
      <c r="C124" s="473">
        <f>IF(D93="","-",+C123+1)</f>
        <v>2032</v>
      </c>
      <c r="D124" s="347">
        <f>IF(F123+SUM(E$99:E123)=D$92,F123,D$92-SUM(E$99:E123))</f>
        <v>34633</v>
      </c>
      <c r="E124" s="487">
        <f>IF(+J96&lt;F123,J96,D124)</f>
        <v>1687</v>
      </c>
      <c r="F124" s="486">
        <f t="shared" si="35"/>
        <v>32946</v>
      </c>
      <c r="G124" s="486">
        <f t="shared" si="36"/>
        <v>33789.5</v>
      </c>
      <c r="H124" s="487">
        <f t="shared" si="38"/>
        <v>5582.8364534295379</v>
      </c>
      <c r="I124" s="543">
        <f t="shared" si="39"/>
        <v>5582.8364534295379</v>
      </c>
      <c r="J124" s="479">
        <f t="shared" si="21"/>
        <v>0</v>
      </c>
      <c r="K124" s="479"/>
      <c r="L124" s="488"/>
      <c r="M124" s="479">
        <f t="shared" si="22"/>
        <v>0</v>
      </c>
      <c r="N124" s="488"/>
      <c r="O124" s="479">
        <f t="shared" si="23"/>
        <v>0</v>
      </c>
      <c r="P124" s="479">
        <f t="shared" si="24"/>
        <v>0</v>
      </c>
    </row>
    <row r="125" spans="2:16" ht="12.5">
      <c r="B125" s="160" t="str">
        <f t="shared" si="25"/>
        <v/>
      </c>
      <c r="C125" s="473">
        <f>IF(D93="","-",+C124+1)</f>
        <v>2033</v>
      </c>
      <c r="D125" s="347">
        <f>IF(F124+SUM(E$99:E124)=D$92,F124,D$92-SUM(E$99:E124))</f>
        <v>32946</v>
      </c>
      <c r="E125" s="487">
        <f>IF(+J96&lt;F124,J96,D125)</f>
        <v>1687</v>
      </c>
      <c r="F125" s="486">
        <f t="shared" si="35"/>
        <v>31259</v>
      </c>
      <c r="G125" s="486">
        <f t="shared" si="36"/>
        <v>32102.5</v>
      </c>
      <c r="H125" s="487">
        <f t="shared" si="38"/>
        <v>5388.3299914536092</v>
      </c>
      <c r="I125" s="543">
        <f t="shared" si="39"/>
        <v>5388.3299914536092</v>
      </c>
      <c r="J125" s="479">
        <f t="shared" si="21"/>
        <v>0</v>
      </c>
      <c r="K125" s="479"/>
      <c r="L125" s="488"/>
      <c r="M125" s="479">
        <f t="shared" si="22"/>
        <v>0</v>
      </c>
      <c r="N125" s="488"/>
      <c r="O125" s="479">
        <f t="shared" si="23"/>
        <v>0</v>
      </c>
      <c r="P125" s="479">
        <f t="shared" si="24"/>
        <v>0</v>
      </c>
    </row>
    <row r="126" spans="2:16" ht="12.5">
      <c r="B126" s="160" t="str">
        <f t="shared" si="25"/>
        <v/>
      </c>
      <c r="C126" s="473">
        <f>IF(D93="","-",+C125+1)</f>
        <v>2034</v>
      </c>
      <c r="D126" s="347">
        <f>IF(F125+SUM(E$99:E125)=D$92,F125,D$92-SUM(E$99:E125))</f>
        <v>31259</v>
      </c>
      <c r="E126" s="487">
        <f>IF(+J96&lt;F125,J96,D126)</f>
        <v>1687</v>
      </c>
      <c r="F126" s="486">
        <f t="shared" si="35"/>
        <v>29572</v>
      </c>
      <c r="G126" s="486">
        <f t="shared" si="36"/>
        <v>30415.5</v>
      </c>
      <c r="H126" s="487">
        <f t="shared" si="38"/>
        <v>5193.8235294776805</v>
      </c>
      <c r="I126" s="543">
        <f t="shared" si="39"/>
        <v>5193.8235294776805</v>
      </c>
      <c r="J126" s="479">
        <f t="shared" si="21"/>
        <v>0</v>
      </c>
      <c r="K126" s="479"/>
      <c r="L126" s="488"/>
      <c r="M126" s="479">
        <f t="shared" si="22"/>
        <v>0</v>
      </c>
      <c r="N126" s="488"/>
      <c r="O126" s="479">
        <f t="shared" si="23"/>
        <v>0</v>
      </c>
      <c r="P126" s="479">
        <f t="shared" si="24"/>
        <v>0</v>
      </c>
    </row>
    <row r="127" spans="2:16" ht="12.5">
      <c r="B127" s="160" t="str">
        <f t="shared" si="25"/>
        <v/>
      </c>
      <c r="C127" s="473">
        <f>IF(D93="","-",+C126+1)</f>
        <v>2035</v>
      </c>
      <c r="D127" s="347">
        <f>IF(F126+SUM(E$99:E126)=D$92,F126,D$92-SUM(E$99:E126))</f>
        <v>29572</v>
      </c>
      <c r="E127" s="487">
        <f>IF(+J96&lt;F126,J96,D127)</f>
        <v>1687</v>
      </c>
      <c r="F127" s="486">
        <f t="shared" si="35"/>
        <v>27885</v>
      </c>
      <c r="G127" s="486">
        <f t="shared" si="36"/>
        <v>28728.5</v>
      </c>
      <c r="H127" s="487">
        <f t="shared" si="38"/>
        <v>4999.3170675017527</v>
      </c>
      <c r="I127" s="543">
        <f t="shared" si="39"/>
        <v>4999.3170675017527</v>
      </c>
      <c r="J127" s="479">
        <f t="shared" si="21"/>
        <v>0</v>
      </c>
      <c r="K127" s="479"/>
      <c r="L127" s="488"/>
      <c r="M127" s="479">
        <f t="shared" si="22"/>
        <v>0</v>
      </c>
      <c r="N127" s="488"/>
      <c r="O127" s="479">
        <f t="shared" si="23"/>
        <v>0</v>
      </c>
      <c r="P127" s="479">
        <f t="shared" si="24"/>
        <v>0</v>
      </c>
    </row>
    <row r="128" spans="2:16" ht="12.5">
      <c r="B128" s="160" t="str">
        <f t="shared" si="25"/>
        <v/>
      </c>
      <c r="C128" s="473">
        <f>IF(D93="","-",+C127+1)</f>
        <v>2036</v>
      </c>
      <c r="D128" s="347">
        <f>IF(F127+SUM(E$99:E127)=D$92,F127,D$92-SUM(E$99:E127))</f>
        <v>27885</v>
      </c>
      <c r="E128" s="487">
        <f>IF(+J96&lt;F127,J96,D128)</f>
        <v>1687</v>
      </c>
      <c r="F128" s="486">
        <f t="shared" si="35"/>
        <v>26198</v>
      </c>
      <c r="G128" s="486">
        <f t="shared" si="36"/>
        <v>27041.5</v>
      </c>
      <c r="H128" s="487">
        <f t="shared" si="38"/>
        <v>4804.8106055258249</v>
      </c>
      <c r="I128" s="543">
        <f t="shared" si="39"/>
        <v>4804.8106055258249</v>
      </c>
      <c r="J128" s="479">
        <f t="shared" si="21"/>
        <v>0</v>
      </c>
      <c r="K128" s="479"/>
      <c r="L128" s="488"/>
      <c r="M128" s="479">
        <f t="shared" si="22"/>
        <v>0</v>
      </c>
      <c r="N128" s="488"/>
      <c r="O128" s="479">
        <f t="shared" si="23"/>
        <v>0</v>
      </c>
      <c r="P128" s="479">
        <f t="shared" si="24"/>
        <v>0</v>
      </c>
    </row>
    <row r="129" spans="2:16" ht="12.5">
      <c r="B129" s="160" t="str">
        <f t="shared" si="25"/>
        <v/>
      </c>
      <c r="C129" s="473">
        <f>IF(D93="","-",+C128+1)</f>
        <v>2037</v>
      </c>
      <c r="D129" s="347">
        <f>IF(F128+SUM(E$99:E128)=D$92,F128,D$92-SUM(E$99:E128))</f>
        <v>26198</v>
      </c>
      <c r="E129" s="487">
        <f>IF(+J96&lt;F128,J96,D129)</f>
        <v>1687</v>
      </c>
      <c r="F129" s="486">
        <f t="shared" si="35"/>
        <v>24511</v>
      </c>
      <c r="G129" s="486">
        <f t="shared" si="36"/>
        <v>25354.5</v>
      </c>
      <c r="H129" s="487">
        <f t="shared" si="38"/>
        <v>4610.3041435498963</v>
      </c>
      <c r="I129" s="543">
        <f t="shared" si="39"/>
        <v>4610.3041435498963</v>
      </c>
      <c r="J129" s="479">
        <f t="shared" si="21"/>
        <v>0</v>
      </c>
      <c r="K129" s="479"/>
      <c r="L129" s="488"/>
      <c r="M129" s="479">
        <f t="shared" si="22"/>
        <v>0</v>
      </c>
      <c r="N129" s="488"/>
      <c r="O129" s="479">
        <f t="shared" si="23"/>
        <v>0</v>
      </c>
      <c r="P129" s="479">
        <f t="shared" si="24"/>
        <v>0</v>
      </c>
    </row>
    <row r="130" spans="2:16" ht="12.5">
      <c r="B130" s="160" t="str">
        <f t="shared" si="25"/>
        <v/>
      </c>
      <c r="C130" s="473">
        <f>IF(D93="","-",+C129+1)</f>
        <v>2038</v>
      </c>
      <c r="D130" s="347">
        <f>IF(F129+SUM(E$99:E129)=D$92,F129,D$92-SUM(E$99:E129))</f>
        <v>24511</v>
      </c>
      <c r="E130" s="487">
        <f>IF(+J96&lt;F129,J96,D130)</f>
        <v>1687</v>
      </c>
      <c r="F130" s="486">
        <f t="shared" si="35"/>
        <v>22824</v>
      </c>
      <c r="G130" s="486">
        <f t="shared" si="36"/>
        <v>23667.5</v>
      </c>
      <c r="H130" s="487">
        <f t="shared" si="38"/>
        <v>4415.7976815739676</v>
      </c>
      <c r="I130" s="543">
        <f t="shared" si="39"/>
        <v>4415.7976815739676</v>
      </c>
      <c r="J130" s="479">
        <f t="shared" si="21"/>
        <v>0</v>
      </c>
      <c r="K130" s="479"/>
      <c r="L130" s="488"/>
      <c r="M130" s="479">
        <f t="shared" si="22"/>
        <v>0</v>
      </c>
      <c r="N130" s="488"/>
      <c r="O130" s="479">
        <f t="shared" si="23"/>
        <v>0</v>
      </c>
      <c r="P130" s="479">
        <f t="shared" si="24"/>
        <v>0</v>
      </c>
    </row>
    <row r="131" spans="2:16" ht="12.5">
      <c r="B131" s="160" t="str">
        <f t="shared" si="25"/>
        <v/>
      </c>
      <c r="C131" s="473">
        <f>IF(D93="","-",+C130+1)</f>
        <v>2039</v>
      </c>
      <c r="D131" s="347">
        <f>IF(F130+SUM(E$99:E130)=D$92,F130,D$92-SUM(E$99:E130))</f>
        <v>22824</v>
      </c>
      <c r="E131" s="487">
        <f>IF(+J96&lt;F130,J96,D131)</f>
        <v>1687</v>
      </c>
      <c r="F131" s="486">
        <f t="shared" si="35"/>
        <v>21137</v>
      </c>
      <c r="G131" s="486">
        <f t="shared" si="36"/>
        <v>21980.5</v>
      </c>
      <c r="H131" s="487">
        <f t="shared" si="38"/>
        <v>4221.2912195980389</v>
      </c>
      <c r="I131" s="543">
        <f t="shared" si="39"/>
        <v>4221.2912195980389</v>
      </c>
      <c r="J131" s="479">
        <f t="shared" ref="J131:J154" si="40">+I541-H541</f>
        <v>0</v>
      </c>
      <c r="K131" s="479"/>
      <c r="L131" s="488"/>
      <c r="M131" s="479">
        <f t="shared" ref="M131:M154" si="41">IF(L541&lt;&gt;0,+H541-L541,0)</f>
        <v>0</v>
      </c>
      <c r="N131" s="488"/>
      <c r="O131" s="479">
        <f t="shared" ref="O131:O154" si="42">IF(N541&lt;&gt;0,+I541-N541,0)</f>
        <v>0</v>
      </c>
      <c r="P131" s="479">
        <f t="shared" ref="P131:P154" si="43">+O541-M541</f>
        <v>0</v>
      </c>
    </row>
    <row r="132" spans="2:16" ht="12.5">
      <c r="B132" s="160" t="str">
        <f t="shared" si="25"/>
        <v/>
      </c>
      <c r="C132" s="473">
        <f>IF(D93="","-",+C131+1)</f>
        <v>2040</v>
      </c>
      <c r="D132" s="347">
        <f>IF(F131+SUM(E$99:E131)=D$92,F131,D$92-SUM(E$99:E131))</f>
        <v>21137</v>
      </c>
      <c r="E132" s="487">
        <f>IF(+J96&lt;F131,J96,D132)</f>
        <v>1687</v>
      </c>
      <c r="F132" s="486">
        <f t="shared" si="35"/>
        <v>19450</v>
      </c>
      <c r="G132" s="486">
        <f t="shared" si="36"/>
        <v>20293.5</v>
      </c>
      <c r="H132" s="487">
        <f t="shared" si="38"/>
        <v>4026.7847576221111</v>
      </c>
      <c r="I132" s="543">
        <f t="shared" si="39"/>
        <v>4026.7847576221111</v>
      </c>
      <c r="J132" s="479">
        <f t="shared" si="40"/>
        <v>0</v>
      </c>
      <c r="K132" s="479"/>
      <c r="L132" s="488"/>
      <c r="M132" s="479">
        <f t="shared" si="41"/>
        <v>0</v>
      </c>
      <c r="N132" s="488"/>
      <c r="O132" s="479">
        <f t="shared" si="42"/>
        <v>0</v>
      </c>
      <c r="P132" s="479">
        <f t="shared" si="43"/>
        <v>0</v>
      </c>
    </row>
    <row r="133" spans="2:16" ht="12.5">
      <c r="B133" s="160" t="str">
        <f t="shared" si="25"/>
        <v/>
      </c>
      <c r="C133" s="473">
        <f>IF(D93="","-",+C132+1)</f>
        <v>2041</v>
      </c>
      <c r="D133" s="347">
        <f>IF(F132+SUM(E$99:E132)=D$92,F132,D$92-SUM(E$99:E132))</f>
        <v>19450</v>
      </c>
      <c r="E133" s="487">
        <f>IF(+J96&lt;F132,J96,D133)</f>
        <v>1687</v>
      </c>
      <c r="F133" s="486">
        <f t="shared" si="35"/>
        <v>17763</v>
      </c>
      <c r="G133" s="486">
        <f t="shared" si="36"/>
        <v>18606.5</v>
      </c>
      <c r="H133" s="487">
        <f t="shared" si="38"/>
        <v>3832.2782956461829</v>
      </c>
      <c r="I133" s="543">
        <f t="shared" si="39"/>
        <v>3832.2782956461829</v>
      </c>
      <c r="J133" s="479">
        <f t="shared" si="40"/>
        <v>0</v>
      </c>
      <c r="K133" s="479"/>
      <c r="L133" s="488"/>
      <c r="M133" s="479">
        <f t="shared" si="41"/>
        <v>0</v>
      </c>
      <c r="N133" s="488"/>
      <c r="O133" s="479">
        <f t="shared" si="42"/>
        <v>0</v>
      </c>
      <c r="P133" s="479">
        <f t="shared" si="43"/>
        <v>0</v>
      </c>
    </row>
    <row r="134" spans="2:16" ht="12.5">
      <c r="B134" s="160" t="str">
        <f t="shared" si="25"/>
        <v/>
      </c>
      <c r="C134" s="473">
        <f>IF(D93="","-",+C133+1)</f>
        <v>2042</v>
      </c>
      <c r="D134" s="347">
        <f>IF(F133+SUM(E$99:E133)=D$92,F133,D$92-SUM(E$99:E133))</f>
        <v>17763</v>
      </c>
      <c r="E134" s="487">
        <f>IF(+J96&lt;F133,J96,D134)</f>
        <v>1687</v>
      </c>
      <c r="F134" s="486">
        <f t="shared" si="35"/>
        <v>16076</v>
      </c>
      <c r="G134" s="486">
        <f t="shared" si="36"/>
        <v>16919.5</v>
      </c>
      <c r="H134" s="487">
        <f t="shared" si="38"/>
        <v>3637.7718336702546</v>
      </c>
      <c r="I134" s="543">
        <f t="shared" si="39"/>
        <v>3637.7718336702546</v>
      </c>
      <c r="J134" s="479">
        <f t="shared" si="40"/>
        <v>0</v>
      </c>
      <c r="K134" s="479"/>
      <c r="L134" s="488"/>
      <c r="M134" s="479">
        <f t="shared" si="41"/>
        <v>0</v>
      </c>
      <c r="N134" s="488"/>
      <c r="O134" s="479">
        <f t="shared" si="42"/>
        <v>0</v>
      </c>
      <c r="P134" s="479">
        <f t="shared" si="43"/>
        <v>0</v>
      </c>
    </row>
    <row r="135" spans="2:16" ht="12.5">
      <c r="B135" s="160" t="str">
        <f t="shared" si="25"/>
        <v/>
      </c>
      <c r="C135" s="473">
        <f>IF(D93="","-",+C134+1)</f>
        <v>2043</v>
      </c>
      <c r="D135" s="347">
        <f>IF(F134+SUM(E$99:E134)=D$92,F134,D$92-SUM(E$99:E134))</f>
        <v>16076</v>
      </c>
      <c r="E135" s="487">
        <f>IF(+J96&lt;F134,J96,D135)</f>
        <v>1687</v>
      </c>
      <c r="F135" s="486">
        <f t="shared" si="35"/>
        <v>14389</v>
      </c>
      <c r="G135" s="486">
        <f t="shared" si="36"/>
        <v>15232.5</v>
      </c>
      <c r="H135" s="487">
        <f t="shared" si="38"/>
        <v>3443.2653716943259</v>
      </c>
      <c r="I135" s="543">
        <f t="shared" si="39"/>
        <v>3443.2653716943259</v>
      </c>
      <c r="J135" s="479">
        <f t="shared" si="40"/>
        <v>0</v>
      </c>
      <c r="K135" s="479"/>
      <c r="L135" s="488"/>
      <c r="M135" s="479">
        <f t="shared" si="41"/>
        <v>0</v>
      </c>
      <c r="N135" s="488"/>
      <c r="O135" s="479">
        <f t="shared" si="42"/>
        <v>0</v>
      </c>
      <c r="P135" s="479">
        <f t="shared" si="43"/>
        <v>0</v>
      </c>
    </row>
    <row r="136" spans="2:16" ht="12.5">
      <c r="B136" s="160" t="str">
        <f t="shared" si="25"/>
        <v/>
      </c>
      <c r="C136" s="473">
        <f>IF(D93="","-",+C135+1)</f>
        <v>2044</v>
      </c>
      <c r="D136" s="347">
        <f>IF(F135+SUM(E$99:E135)=D$92,F135,D$92-SUM(E$99:E135))</f>
        <v>14389</v>
      </c>
      <c r="E136" s="487">
        <f>IF(+J96&lt;F135,J96,D136)</f>
        <v>1687</v>
      </c>
      <c r="F136" s="486">
        <f t="shared" si="35"/>
        <v>12702</v>
      </c>
      <c r="G136" s="486">
        <f t="shared" si="36"/>
        <v>13545.5</v>
      </c>
      <c r="H136" s="487">
        <f t="shared" si="38"/>
        <v>3248.7589097183982</v>
      </c>
      <c r="I136" s="543">
        <f t="shared" si="39"/>
        <v>3248.7589097183982</v>
      </c>
      <c r="J136" s="479">
        <f t="shared" si="40"/>
        <v>0</v>
      </c>
      <c r="K136" s="479"/>
      <c r="L136" s="488"/>
      <c r="M136" s="479">
        <f t="shared" si="41"/>
        <v>0</v>
      </c>
      <c r="N136" s="488"/>
      <c r="O136" s="479">
        <f t="shared" si="42"/>
        <v>0</v>
      </c>
      <c r="P136" s="479">
        <f t="shared" si="43"/>
        <v>0</v>
      </c>
    </row>
    <row r="137" spans="2:16" ht="12.5">
      <c r="B137" s="160" t="str">
        <f t="shared" si="25"/>
        <v/>
      </c>
      <c r="C137" s="473">
        <f>IF(D93="","-",+C136+1)</f>
        <v>2045</v>
      </c>
      <c r="D137" s="347">
        <f>IF(F136+SUM(E$99:E136)=D$92,F136,D$92-SUM(E$99:E136))</f>
        <v>12702</v>
      </c>
      <c r="E137" s="487">
        <f>IF(+J96&lt;F136,J96,D137)</f>
        <v>1687</v>
      </c>
      <c r="F137" s="486">
        <f t="shared" si="35"/>
        <v>11015</v>
      </c>
      <c r="G137" s="486">
        <f t="shared" si="36"/>
        <v>11858.5</v>
      </c>
      <c r="H137" s="487">
        <f t="shared" si="38"/>
        <v>3054.2524477424695</v>
      </c>
      <c r="I137" s="543">
        <f t="shared" si="39"/>
        <v>3054.2524477424695</v>
      </c>
      <c r="J137" s="479">
        <f t="shared" si="40"/>
        <v>0</v>
      </c>
      <c r="K137" s="479"/>
      <c r="L137" s="488"/>
      <c r="M137" s="479">
        <f t="shared" si="41"/>
        <v>0</v>
      </c>
      <c r="N137" s="488"/>
      <c r="O137" s="479">
        <f t="shared" si="42"/>
        <v>0</v>
      </c>
      <c r="P137" s="479">
        <f t="shared" si="43"/>
        <v>0</v>
      </c>
    </row>
    <row r="138" spans="2:16" ht="12.5">
      <c r="B138" s="160" t="str">
        <f t="shared" si="25"/>
        <v/>
      </c>
      <c r="C138" s="473">
        <f>IF(D93="","-",+C137+1)</f>
        <v>2046</v>
      </c>
      <c r="D138" s="347">
        <f>IF(F137+SUM(E$99:E137)=D$92,F137,D$92-SUM(E$99:E137))</f>
        <v>11015</v>
      </c>
      <c r="E138" s="487">
        <f>IF(+J96&lt;F137,J96,D138)</f>
        <v>1687</v>
      </c>
      <c r="F138" s="486">
        <f t="shared" si="35"/>
        <v>9328</v>
      </c>
      <c r="G138" s="486">
        <f t="shared" si="36"/>
        <v>10171.5</v>
      </c>
      <c r="H138" s="487">
        <f t="shared" si="38"/>
        <v>2859.7459857665413</v>
      </c>
      <c r="I138" s="543">
        <f t="shared" si="39"/>
        <v>2859.7459857665413</v>
      </c>
      <c r="J138" s="479">
        <f t="shared" si="40"/>
        <v>0</v>
      </c>
      <c r="K138" s="479"/>
      <c r="L138" s="488"/>
      <c r="M138" s="479">
        <f t="shared" si="41"/>
        <v>0</v>
      </c>
      <c r="N138" s="488"/>
      <c r="O138" s="479">
        <f t="shared" si="42"/>
        <v>0</v>
      </c>
      <c r="P138" s="479">
        <f t="shared" si="43"/>
        <v>0</v>
      </c>
    </row>
    <row r="139" spans="2:16" ht="12.5">
      <c r="B139" s="160" t="str">
        <f t="shared" si="25"/>
        <v/>
      </c>
      <c r="C139" s="473">
        <f>IF(D93="","-",+C138+1)</f>
        <v>2047</v>
      </c>
      <c r="D139" s="347">
        <f>IF(F138+SUM(E$99:E138)=D$92,F138,D$92-SUM(E$99:E138))</f>
        <v>9328</v>
      </c>
      <c r="E139" s="487">
        <f>IF(+J96&lt;F138,J96,D139)</f>
        <v>1687</v>
      </c>
      <c r="F139" s="486">
        <f t="shared" si="35"/>
        <v>7641</v>
      </c>
      <c r="G139" s="486">
        <f t="shared" si="36"/>
        <v>8484.5</v>
      </c>
      <c r="H139" s="487">
        <f t="shared" si="38"/>
        <v>2665.239523790613</v>
      </c>
      <c r="I139" s="543">
        <f t="shared" si="39"/>
        <v>2665.239523790613</v>
      </c>
      <c r="J139" s="479">
        <f t="shared" si="40"/>
        <v>0</v>
      </c>
      <c r="K139" s="479"/>
      <c r="L139" s="488"/>
      <c r="M139" s="479">
        <f t="shared" si="41"/>
        <v>0</v>
      </c>
      <c r="N139" s="488"/>
      <c r="O139" s="479">
        <f t="shared" si="42"/>
        <v>0</v>
      </c>
      <c r="P139" s="479">
        <f t="shared" si="43"/>
        <v>0</v>
      </c>
    </row>
    <row r="140" spans="2:16" ht="12.5">
      <c r="B140" s="160" t="str">
        <f t="shared" si="25"/>
        <v/>
      </c>
      <c r="C140" s="473">
        <f>IF(D93="","-",+C139+1)</f>
        <v>2048</v>
      </c>
      <c r="D140" s="347">
        <f>IF(F139+SUM(E$99:E139)=D$92,F139,D$92-SUM(E$99:E139))</f>
        <v>7641</v>
      </c>
      <c r="E140" s="487">
        <f>IF(+J96&lt;F139,J96,D140)</f>
        <v>1687</v>
      </c>
      <c r="F140" s="486">
        <f t="shared" si="35"/>
        <v>5954</v>
      </c>
      <c r="G140" s="486">
        <f t="shared" si="36"/>
        <v>6797.5</v>
      </c>
      <c r="H140" s="487">
        <f t="shared" si="38"/>
        <v>2470.7330618146843</v>
      </c>
      <c r="I140" s="543">
        <f t="shared" si="39"/>
        <v>2470.7330618146843</v>
      </c>
      <c r="J140" s="479">
        <f t="shared" si="40"/>
        <v>0</v>
      </c>
      <c r="K140" s="479"/>
      <c r="L140" s="488"/>
      <c r="M140" s="479">
        <f t="shared" si="41"/>
        <v>0</v>
      </c>
      <c r="N140" s="488"/>
      <c r="O140" s="479">
        <f t="shared" si="42"/>
        <v>0</v>
      </c>
      <c r="P140" s="479">
        <f t="shared" si="43"/>
        <v>0</v>
      </c>
    </row>
    <row r="141" spans="2:16" ht="12.5">
      <c r="B141" s="160" t="str">
        <f t="shared" si="25"/>
        <v/>
      </c>
      <c r="C141" s="473">
        <f>IF(D93="","-",+C140+1)</f>
        <v>2049</v>
      </c>
      <c r="D141" s="347">
        <f>IF(F140+SUM(E$99:E140)=D$92,F140,D$92-SUM(E$99:E140))</f>
        <v>5954</v>
      </c>
      <c r="E141" s="487">
        <f>IF(+J96&lt;F140,J96,D141)</f>
        <v>1687</v>
      </c>
      <c r="F141" s="486">
        <f t="shared" si="35"/>
        <v>4267</v>
      </c>
      <c r="G141" s="486">
        <f t="shared" si="36"/>
        <v>5110.5</v>
      </c>
      <c r="H141" s="487">
        <f t="shared" si="38"/>
        <v>2276.2265998387561</v>
      </c>
      <c r="I141" s="543">
        <f t="shared" si="39"/>
        <v>2276.2265998387561</v>
      </c>
      <c r="J141" s="479">
        <f t="shared" si="40"/>
        <v>0</v>
      </c>
      <c r="K141" s="479"/>
      <c r="L141" s="488"/>
      <c r="M141" s="479">
        <f t="shared" si="41"/>
        <v>0</v>
      </c>
      <c r="N141" s="488"/>
      <c r="O141" s="479">
        <f t="shared" si="42"/>
        <v>0</v>
      </c>
      <c r="P141" s="479">
        <f t="shared" si="43"/>
        <v>0</v>
      </c>
    </row>
    <row r="142" spans="2:16" ht="12.5">
      <c r="B142" s="160" t="str">
        <f t="shared" si="25"/>
        <v/>
      </c>
      <c r="C142" s="473">
        <f>IF(D93="","-",+C141+1)</f>
        <v>2050</v>
      </c>
      <c r="D142" s="347">
        <f>IF(F141+SUM(E$99:E141)=D$92,F141,D$92-SUM(E$99:E141))</f>
        <v>4267</v>
      </c>
      <c r="E142" s="487">
        <f>IF(+J96&lt;F141,J96,D142)</f>
        <v>1687</v>
      </c>
      <c r="F142" s="486">
        <f t="shared" si="35"/>
        <v>2580</v>
      </c>
      <c r="G142" s="486">
        <f t="shared" si="36"/>
        <v>3423.5</v>
      </c>
      <c r="H142" s="487">
        <f t="shared" si="38"/>
        <v>2081.7201378628279</v>
      </c>
      <c r="I142" s="543">
        <f t="shared" si="39"/>
        <v>2081.7201378628279</v>
      </c>
      <c r="J142" s="479">
        <f t="shared" si="40"/>
        <v>0</v>
      </c>
      <c r="K142" s="479"/>
      <c r="L142" s="488"/>
      <c r="M142" s="479">
        <f t="shared" si="41"/>
        <v>0</v>
      </c>
      <c r="N142" s="488"/>
      <c r="O142" s="479">
        <f t="shared" si="42"/>
        <v>0</v>
      </c>
      <c r="P142" s="479">
        <f t="shared" si="43"/>
        <v>0</v>
      </c>
    </row>
    <row r="143" spans="2:16" ht="12.5">
      <c r="B143" s="160" t="str">
        <f t="shared" si="25"/>
        <v/>
      </c>
      <c r="C143" s="473">
        <f>IF(D93="","-",+C142+1)</f>
        <v>2051</v>
      </c>
      <c r="D143" s="347">
        <f>IF(F142+SUM(E$99:E142)=D$92,F142,D$92-SUM(E$99:E142))</f>
        <v>2580</v>
      </c>
      <c r="E143" s="487">
        <f>IF(+J96&lt;F142,J96,D143)</f>
        <v>1687</v>
      </c>
      <c r="F143" s="486">
        <f t="shared" si="35"/>
        <v>893</v>
      </c>
      <c r="G143" s="486">
        <f t="shared" si="36"/>
        <v>1736.5</v>
      </c>
      <c r="H143" s="487">
        <f t="shared" si="38"/>
        <v>1887.2136758868996</v>
      </c>
      <c r="I143" s="543">
        <f t="shared" si="39"/>
        <v>1887.2136758868996</v>
      </c>
      <c r="J143" s="479">
        <f t="shared" si="40"/>
        <v>0</v>
      </c>
      <c r="K143" s="479"/>
      <c r="L143" s="488"/>
      <c r="M143" s="479">
        <f t="shared" si="41"/>
        <v>0</v>
      </c>
      <c r="N143" s="488"/>
      <c r="O143" s="479">
        <f t="shared" si="42"/>
        <v>0</v>
      </c>
      <c r="P143" s="479">
        <f t="shared" si="43"/>
        <v>0</v>
      </c>
    </row>
    <row r="144" spans="2:16" ht="12.5">
      <c r="B144" s="160" t="str">
        <f t="shared" si="25"/>
        <v/>
      </c>
      <c r="C144" s="473">
        <f>IF(D93="","-",+C143+1)</f>
        <v>2052</v>
      </c>
      <c r="D144" s="347">
        <f>IF(F143+SUM(E$99:E143)=D$92,F143,D$92-SUM(E$99:E143))</f>
        <v>893</v>
      </c>
      <c r="E144" s="487">
        <f>IF(+J96&lt;F143,J96,D144)</f>
        <v>893</v>
      </c>
      <c r="F144" s="486">
        <f t="shared" si="35"/>
        <v>0</v>
      </c>
      <c r="G144" s="486">
        <f t="shared" si="36"/>
        <v>446.5</v>
      </c>
      <c r="H144" s="487">
        <f t="shared" si="38"/>
        <v>944.48022244946765</v>
      </c>
      <c r="I144" s="543">
        <f t="shared" si="39"/>
        <v>944.48022244946765</v>
      </c>
      <c r="J144" s="479">
        <f t="shared" si="40"/>
        <v>0</v>
      </c>
      <c r="K144" s="479"/>
      <c r="L144" s="488"/>
      <c r="M144" s="479">
        <f t="shared" si="41"/>
        <v>0</v>
      </c>
      <c r="N144" s="488"/>
      <c r="O144" s="479">
        <f t="shared" si="42"/>
        <v>0</v>
      </c>
      <c r="P144" s="479">
        <f t="shared" si="43"/>
        <v>0</v>
      </c>
    </row>
    <row r="145" spans="2:16" ht="12.5">
      <c r="B145" s="160" t="str">
        <f t="shared" si="25"/>
        <v/>
      </c>
      <c r="C145" s="473">
        <f>IF(D93="","-",+C144+1)</f>
        <v>2053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5"/>
        <v>0</v>
      </c>
      <c r="G145" s="486">
        <f t="shared" si="36"/>
        <v>0</v>
      </c>
      <c r="H145" s="487">
        <f t="shared" si="38"/>
        <v>0</v>
      </c>
      <c r="I145" s="543">
        <f t="shared" si="39"/>
        <v>0</v>
      </c>
      <c r="J145" s="479">
        <f t="shared" si="40"/>
        <v>0</v>
      </c>
      <c r="K145" s="479"/>
      <c r="L145" s="488"/>
      <c r="M145" s="479">
        <f t="shared" si="41"/>
        <v>0</v>
      </c>
      <c r="N145" s="488"/>
      <c r="O145" s="479">
        <f t="shared" si="42"/>
        <v>0</v>
      </c>
      <c r="P145" s="479">
        <f t="shared" si="43"/>
        <v>0</v>
      </c>
    </row>
    <row r="146" spans="2:16" ht="12.5">
      <c r="B146" s="160" t="str">
        <f t="shared" si="25"/>
        <v/>
      </c>
      <c r="C146" s="473">
        <f>IF(D93="","-",+C145+1)</f>
        <v>2054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5"/>
        <v>0</v>
      </c>
      <c r="G146" s="486">
        <f t="shared" si="36"/>
        <v>0</v>
      </c>
      <c r="H146" s="487">
        <f t="shared" si="38"/>
        <v>0</v>
      </c>
      <c r="I146" s="543">
        <f t="shared" si="39"/>
        <v>0</v>
      </c>
      <c r="J146" s="479">
        <f t="shared" si="40"/>
        <v>0</v>
      </c>
      <c r="K146" s="479"/>
      <c r="L146" s="488"/>
      <c r="M146" s="479">
        <f t="shared" si="41"/>
        <v>0</v>
      </c>
      <c r="N146" s="488"/>
      <c r="O146" s="479">
        <f t="shared" si="42"/>
        <v>0</v>
      </c>
      <c r="P146" s="479">
        <f t="shared" si="43"/>
        <v>0</v>
      </c>
    </row>
    <row r="147" spans="2:16" ht="12.5">
      <c r="B147" s="160" t="str">
        <f t="shared" si="25"/>
        <v/>
      </c>
      <c r="C147" s="473">
        <f>IF(D93="","-",+C146+1)</f>
        <v>2055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5"/>
        <v>0</v>
      </c>
      <c r="G147" s="486">
        <f t="shared" si="36"/>
        <v>0</v>
      </c>
      <c r="H147" s="487">
        <f t="shared" si="38"/>
        <v>0</v>
      </c>
      <c r="I147" s="543">
        <f t="shared" si="39"/>
        <v>0</v>
      </c>
      <c r="J147" s="479">
        <f t="shared" si="40"/>
        <v>0</v>
      </c>
      <c r="K147" s="479"/>
      <c r="L147" s="488"/>
      <c r="M147" s="479">
        <f t="shared" si="41"/>
        <v>0</v>
      </c>
      <c r="N147" s="488"/>
      <c r="O147" s="479">
        <f t="shared" si="42"/>
        <v>0</v>
      </c>
      <c r="P147" s="479">
        <f t="shared" si="43"/>
        <v>0</v>
      </c>
    </row>
    <row r="148" spans="2:16" ht="12.5">
      <c r="B148" s="160" t="str">
        <f t="shared" si="25"/>
        <v/>
      </c>
      <c r="C148" s="473">
        <f>IF(D93="","-",+C147+1)</f>
        <v>2056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5"/>
        <v>0</v>
      </c>
      <c r="G148" s="486">
        <f t="shared" si="36"/>
        <v>0</v>
      </c>
      <c r="H148" s="487">
        <f t="shared" si="38"/>
        <v>0</v>
      </c>
      <c r="I148" s="543">
        <f t="shared" si="39"/>
        <v>0</v>
      </c>
      <c r="J148" s="479">
        <f t="shared" si="40"/>
        <v>0</v>
      </c>
      <c r="K148" s="479"/>
      <c r="L148" s="488"/>
      <c r="M148" s="479">
        <f t="shared" si="41"/>
        <v>0</v>
      </c>
      <c r="N148" s="488"/>
      <c r="O148" s="479">
        <f t="shared" si="42"/>
        <v>0</v>
      </c>
      <c r="P148" s="479">
        <f t="shared" si="43"/>
        <v>0</v>
      </c>
    </row>
    <row r="149" spans="2:16" ht="12.5">
      <c r="B149" s="160" t="str">
        <f t="shared" si="25"/>
        <v/>
      </c>
      <c r="C149" s="473">
        <f>IF(D93="","-",+C148+1)</f>
        <v>2057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5"/>
        <v>0</v>
      </c>
      <c r="G149" s="486">
        <f t="shared" si="36"/>
        <v>0</v>
      </c>
      <c r="H149" s="487">
        <f t="shared" si="38"/>
        <v>0</v>
      </c>
      <c r="I149" s="543">
        <f t="shared" si="39"/>
        <v>0</v>
      </c>
      <c r="J149" s="479">
        <f t="shared" si="40"/>
        <v>0</v>
      </c>
      <c r="K149" s="479"/>
      <c r="L149" s="488"/>
      <c r="M149" s="479">
        <f t="shared" si="41"/>
        <v>0</v>
      </c>
      <c r="N149" s="488"/>
      <c r="O149" s="479">
        <f t="shared" si="42"/>
        <v>0</v>
      </c>
      <c r="P149" s="479">
        <f t="shared" si="43"/>
        <v>0</v>
      </c>
    </row>
    <row r="150" spans="2:16" ht="12.5">
      <c r="B150" s="160" t="str">
        <f t="shared" si="25"/>
        <v/>
      </c>
      <c r="C150" s="473">
        <f>IF(D93="","-",+C149+1)</f>
        <v>2058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5"/>
        <v>0</v>
      </c>
      <c r="G150" s="486">
        <f t="shared" si="36"/>
        <v>0</v>
      </c>
      <c r="H150" s="487">
        <f t="shared" si="38"/>
        <v>0</v>
      </c>
      <c r="I150" s="543">
        <f t="shared" si="39"/>
        <v>0</v>
      </c>
      <c r="J150" s="479">
        <f t="shared" si="40"/>
        <v>0</v>
      </c>
      <c r="K150" s="479"/>
      <c r="L150" s="488"/>
      <c r="M150" s="479">
        <f t="shared" si="41"/>
        <v>0</v>
      </c>
      <c r="N150" s="488"/>
      <c r="O150" s="479">
        <f t="shared" si="42"/>
        <v>0</v>
      </c>
      <c r="P150" s="479">
        <f t="shared" si="43"/>
        <v>0</v>
      </c>
    </row>
    <row r="151" spans="2:16" ht="12.5">
      <c r="B151" s="160" t="str">
        <f t="shared" si="25"/>
        <v/>
      </c>
      <c r="C151" s="473">
        <f>IF(D93="","-",+C150+1)</f>
        <v>2059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5"/>
        <v>0</v>
      </c>
      <c r="G151" s="486">
        <f t="shared" si="36"/>
        <v>0</v>
      </c>
      <c r="H151" s="487">
        <f t="shared" si="38"/>
        <v>0</v>
      </c>
      <c r="I151" s="543">
        <f t="shared" si="39"/>
        <v>0</v>
      </c>
      <c r="J151" s="479">
        <f t="shared" si="40"/>
        <v>0</v>
      </c>
      <c r="K151" s="479"/>
      <c r="L151" s="488"/>
      <c r="M151" s="479">
        <f t="shared" si="41"/>
        <v>0</v>
      </c>
      <c r="N151" s="488"/>
      <c r="O151" s="479">
        <f t="shared" si="42"/>
        <v>0</v>
      </c>
      <c r="P151" s="479">
        <f t="shared" si="43"/>
        <v>0</v>
      </c>
    </row>
    <row r="152" spans="2:16" ht="12.5">
      <c r="B152" s="160" t="str">
        <f t="shared" si="25"/>
        <v/>
      </c>
      <c r="C152" s="473">
        <f>IF(D93="","-",+C151+1)</f>
        <v>2060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5"/>
        <v>0</v>
      </c>
      <c r="G152" s="486">
        <f t="shared" si="36"/>
        <v>0</v>
      </c>
      <c r="H152" s="487">
        <f t="shared" si="38"/>
        <v>0</v>
      </c>
      <c r="I152" s="543">
        <f t="shared" si="39"/>
        <v>0</v>
      </c>
      <c r="J152" s="479">
        <f t="shared" si="40"/>
        <v>0</v>
      </c>
      <c r="K152" s="479"/>
      <c r="L152" s="488"/>
      <c r="M152" s="479">
        <f t="shared" si="41"/>
        <v>0</v>
      </c>
      <c r="N152" s="488"/>
      <c r="O152" s="479">
        <f t="shared" si="42"/>
        <v>0</v>
      </c>
      <c r="P152" s="479">
        <f t="shared" si="43"/>
        <v>0</v>
      </c>
    </row>
    <row r="153" spans="2:16" ht="12.5">
      <c r="B153" s="160" t="str">
        <f t="shared" si="25"/>
        <v/>
      </c>
      <c r="C153" s="473">
        <f>IF(D93="","-",+C152+1)</f>
        <v>2061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5"/>
        <v>0</v>
      </c>
      <c r="G153" s="486">
        <f t="shared" si="36"/>
        <v>0</v>
      </c>
      <c r="H153" s="487">
        <f t="shared" si="38"/>
        <v>0</v>
      </c>
      <c r="I153" s="543">
        <f t="shared" si="39"/>
        <v>0</v>
      </c>
      <c r="J153" s="479">
        <f t="shared" si="40"/>
        <v>0</v>
      </c>
      <c r="K153" s="479"/>
      <c r="L153" s="488"/>
      <c r="M153" s="479">
        <f t="shared" si="41"/>
        <v>0</v>
      </c>
      <c r="N153" s="488"/>
      <c r="O153" s="479">
        <f t="shared" si="42"/>
        <v>0</v>
      </c>
      <c r="P153" s="479">
        <f t="shared" si="43"/>
        <v>0</v>
      </c>
    </row>
    <row r="154" spans="2:16" ht="13" thickBot="1">
      <c r="B154" s="160" t="str">
        <f t="shared" si="25"/>
        <v/>
      </c>
      <c r="C154" s="490">
        <f>IF(D93="","-",+C153+1)</f>
        <v>2062</v>
      </c>
      <c r="D154" s="491">
        <f>IF(F153+SUM(E$99:E153)=D$92,F153,D$92-SUM(E$99:E153))</f>
        <v>0</v>
      </c>
      <c r="E154" s="545">
        <f>IF(+J96&lt;F153,J96,D154)</f>
        <v>0</v>
      </c>
      <c r="F154" s="491">
        <f t="shared" si="35"/>
        <v>0</v>
      </c>
      <c r="G154" s="491">
        <f t="shared" si="36"/>
        <v>0</v>
      </c>
      <c r="H154" s="493">
        <f t="shared" ref="H154" si="44">+J$94*G154+E154</f>
        <v>0</v>
      </c>
      <c r="I154" s="546">
        <f t="shared" ref="I154" si="45">+J$95*G154+E154</f>
        <v>0</v>
      </c>
      <c r="J154" s="496">
        <f t="shared" si="40"/>
        <v>0</v>
      </c>
      <c r="K154" s="479"/>
      <c r="L154" s="495"/>
      <c r="M154" s="496">
        <f t="shared" si="41"/>
        <v>0</v>
      </c>
      <c r="N154" s="495"/>
      <c r="O154" s="496">
        <f t="shared" si="42"/>
        <v>0</v>
      </c>
      <c r="P154" s="496">
        <f t="shared" si="43"/>
        <v>0</v>
      </c>
    </row>
    <row r="155" spans="2:16" ht="12.5">
      <c r="C155" s="347" t="s">
        <v>77</v>
      </c>
      <c r="D155" s="348"/>
      <c r="E155" s="348">
        <f>SUM(E99:E154)</f>
        <v>72551</v>
      </c>
      <c r="F155" s="348"/>
      <c r="G155" s="348"/>
      <c r="H155" s="348">
        <f>SUM(H99:H154)</f>
        <v>286879.31836928416</v>
      </c>
      <c r="I155" s="348">
        <f>SUM(I99:I154)</f>
        <v>286879.31836928416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4" priority="1" stopIfTrue="1" operator="equal">
      <formula>$I$10</formula>
    </cfRule>
  </conditionalFormatting>
  <conditionalFormatting sqref="C99:C154">
    <cfRule type="cellIs" dxfId="4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00000"/>
  </sheetPr>
  <dimension ref="A1:P162"/>
  <sheetViews>
    <sheetView view="pageBreakPreview" topLeftCell="B55" zoomScale="75" zoomScaleNormal="100" workbookViewId="0">
      <selection activeCell="H109" sqref="H109:I10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10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10576.425832738674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10576.425832738674</v>
      </c>
      <c r="O6" s="233"/>
      <c r="P6" s="233"/>
    </row>
    <row r="7" spans="1:16" ht="13.5" thickBot="1">
      <c r="C7" s="432" t="s">
        <v>46</v>
      </c>
      <c r="D7" s="565" t="s">
        <v>258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221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96566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2010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2245.7209302325582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2010</v>
      </c>
      <c r="D17" s="474">
        <v>135400</v>
      </c>
      <c r="E17" s="475">
        <v>1209</v>
      </c>
      <c r="F17" s="474">
        <v>134191</v>
      </c>
      <c r="G17" s="475">
        <v>20572</v>
      </c>
      <c r="H17" s="482">
        <v>20572</v>
      </c>
      <c r="I17" s="476">
        <f t="shared" ref="I17:I48" si="0">H17-G17</f>
        <v>0</v>
      </c>
      <c r="J17" s="476"/>
      <c r="K17" s="555">
        <f t="shared" ref="K17:K22" si="1">G17</f>
        <v>20572</v>
      </c>
      <c r="L17" s="478">
        <f t="shared" ref="L17:L48" si="2">IF(K17&lt;&gt;0,+G17-K17,0)</f>
        <v>0</v>
      </c>
      <c r="M17" s="555">
        <f t="shared" ref="M17:M22" si="3">H17</f>
        <v>20572</v>
      </c>
      <c r="N17" s="478">
        <f t="shared" ref="N17:N48" si="4">IF(M17&lt;&gt;0,+H17-M17,0)</f>
        <v>0</v>
      </c>
      <c r="O17" s="479">
        <f t="shared" ref="O17:O48" si="5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2011</v>
      </c>
      <c r="D18" s="480">
        <v>95357</v>
      </c>
      <c r="E18" s="481">
        <v>1893.4509803921569</v>
      </c>
      <c r="F18" s="480">
        <v>93463.549019607846</v>
      </c>
      <c r="G18" s="481">
        <v>16524.450980392157</v>
      </c>
      <c r="H18" s="482">
        <v>16524.450980392157</v>
      </c>
      <c r="I18" s="476">
        <f t="shared" si="0"/>
        <v>0</v>
      </c>
      <c r="J18" s="476"/>
      <c r="K18" s="477">
        <f t="shared" si="1"/>
        <v>16524.450980392157</v>
      </c>
      <c r="L18" s="551">
        <f t="shared" si="2"/>
        <v>0</v>
      </c>
      <c r="M18" s="477">
        <f t="shared" si="3"/>
        <v>16524.450980392157</v>
      </c>
      <c r="N18" s="479">
        <f t="shared" si="4"/>
        <v>0</v>
      </c>
      <c r="O18" s="479">
        <f t="shared" si="5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2012</v>
      </c>
      <c r="D19" s="480">
        <v>93463.549019607846</v>
      </c>
      <c r="E19" s="481">
        <v>1857.0384615384614</v>
      </c>
      <c r="F19" s="480">
        <v>91606.510558069378</v>
      </c>
      <c r="G19" s="481">
        <v>14609.038461538461</v>
      </c>
      <c r="H19" s="482">
        <v>14609.038461538461</v>
      </c>
      <c r="I19" s="476">
        <f t="shared" si="0"/>
        <v>0</v>
      </c>
      <c r="J19" s="476"/>
      <c r="K19" s="477">
        <f t="shared" si="1"/>
        <v>14609.038461538461</v>
      </c>
      <c r="L19" s="551">
        <f t="shared" si="2"/>
        <v>0</v>
      </c>
      <c r="M19" s="477">
        <f t="shared" si="3"/>
        <v>14609.038461538461</v>
      </c>
      <c r="N19" s="479">
        <f t="shared" si="4"/>
        <v>0</v>
      </c>
      <c r="O19" s="479">
        <f t="shared" si="5"/>
        <v>0</v>
      </c>
      <c r="P19" s="243"/>
    </row>
    <row r="20" spans="2:16" ht="12.5">
      <c r="B20" s="160" t="str">
        <f t="shared" ref="B20:B72" si="6">IF(D20=F19,"","IU")</f>
        <v/>
      </c>
      <c r="C20" s="473">
        <f>IF(D11="","-",+C19+1)</f>
        <v>2013</v>
      </c>
      <c r="D20" s="480">
        <v>91606.510558069378</v>
      </c>
      <c r="E20" s="481">
        <v>1857.0384615384614</v>
      </c>
      <c r="F20" s="480">
        <v>89749.47209653091</v>
      </c>
      <c r="G20" s="481">
        <v>14674.038461538461</v>
      </c>
      <c r="H20" s="482">
        <v>14674.038461538461</v>
      </c>
      <c r="I20" s="476">
        <v>0</v>
      </c>
      <c r="J20" s="476"/>
      <c r="K20" s="477">
        <f t="shared" si="1"/>
        <v>14674.038461538461</v>
      </c>
      <c r="L20" s="551">
        <f t="shared" ref="L20:L25" si="7">IF(K20&lt;&gt;0,+G20-K20,0)</f>
        <v>0</v>
      </c>
      <c r="M20" s="477">
        <f t="shared" si="3"/>
        <v>14674.038461538461</v>
      </c>
      <c r="N20" s="479">
        <f t="shared" ref="N20:N25" si="8">IF(M20&lt;&gt;0,+H20-M20,0)</f>
        <v>0</v>
      </c>
      <c r="O20" s="479">
        <f t="shared" ref="O20:O25" si="9">+N20-L20</f>
        <v>0</v>
      </c>
      <c r="P20" s="243"/>
    </row>
    <row r="21" spans="2:16" ht="12.5">
      <c r="B21" s="160" t="str">
        <f t="shared" si="6"/>
        <v/>
      </c>
      <c r="C21" s="473">
        <f>IF(D11="","-",+C20+1)</f>
        <v>2014</v>
      </c>
      <c r="D21" s="480">
        <v>89749.47209653091</v>
      </c>
      <c r="E21" s="481">
        <v>1857.0384615384614</v>
      </c>
      <c r="F21" s="480">
        <v>87892.433634992442</v>
      </c>
      <c r="G21" s="481">
        <v>13956.038461538461</v>
      </c>
      <c r="H21" s="482">
        <v>13956.038461538461</v>
      </c>
      <c r="I21" s="476">
        <v>0</v>
      </c>
      <c r="J21" s="476"/>
      <c r="K21" s="477">
        <f t="shared" si="1"/>
        <v>13956.038461538461</v>
      </c>
      <c r="L21" s="551">
        <f t="shared" si="7"/>
        <v>0</v>
      </c>
      <c r="M21" s="477">
        <f t="shared" si="3"/>
        <v>13956.038461538461</v>
      </c>
      <c r="N21" s="479">
        <f t="shared" si="8"/>
        <v>0</v>
      </c>
      <c r="O21" s="479">
        <f t="shared" si="9"/>
        <v>0</v>
      </c>
      <c r="P21" s="243"/>
    </row>
    <row r="22" spans="2:16" ht="12.5">
      <c r="B22" s="160" t="str">
        <f t="shared" si="6"/>
        <v/>
      </c>
      <c r="C22" s="473">
        <f>IF(D11="","-",+C21+1)</f>
        <v>2015</v>
      </c>
      <c r="D22" s="480">
        <v>87892.433634992442</v>
      </c>
      <c r="E22" s="481">
        <v>1857.0384615384614</v>
      </c>
      <c r="F22" s="480">
        <v>86035.395173453973</v>
      </c>
      <c r="G22" s="481">
        <v>13719.038461538461</v>
      </c>
      <c r="H22" s="482">
        <v>13719.038461538461</v>
      </c>
      <c r="I22" s="476">
        <v>0</v>
      </c>
      <c r="J22" s="476"/>
      <c r="K22" s="477">
        <f t="shared" si="1"/>
        <v>13719.038461538461</v>
      </c>
      <c r="L22" s="551">
        <f t="shared" si="7"/>
        <v>0</v>
      </c>
      <c r="M22" s="477">
        <f t="shared" si="3"/>
        <v>13719.038461538461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2016</v>
      </c>
      <c r="D23" s="480">
        <v>86035.395173453973</v>
      </c>
      <c r="E23" s="481">
        <v>1857.0384615384614</v>
      </c>
      <c r="F23" s="480">
        <v>84178.356711915505</v>
      </c>
      <c r="G23" s="481">
        <v>12898.038461538461</v>
      </c>
      <c r="H23" s="482">
        <v>12898.038461538461</v>
      </c>
      <c r="I23" s="476">
        <f t="shared" si="0"/>
        <v>0</v>
      </c>
      <c r="J23" s="476"/>
      <c r="K23" s="477">
        <f>G23</f>
        <v>12898.038461538461</v>
      </c>
      <c r="L23" s="551">
        <f t="shared" si="7"/>
        <v>0</v>
      </c>
      <c r="M23" s="477">
        <f>H23</f>
        <v>12898.038461538461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2017</v>
      </c>
      <c r="D24" s="480">
        <v>84178.356711915505</v>
      </c>
      <c r="E24" s="481">
        <v>2099.2608695652175</v>
      </c>
      <c r="F24" s="480">
        <v>82079.095842350289</v>
      </c>
      <c r="G24" s="481">
        <v>12544.260869565218</v>
      </c>
      <c r="H24" s="482">
        <v>12544.260869565218</v>
      </c>
      <c r="I24" s="476">
        <f t="shared" si="0"/>
        <v>0</v>
      </c>
      <c r="J24" s="476"/>
      <c r="K24" s="477">
        <f>G24</f>
        <v>12544.260869565218</v>
      </c>
      <c r="L24" s="551">
        <f t="shared" si="7"/>
        <v>0</v>
      </c>
      <c r="M24" s="477">
        <f>H24</f>
        <v>12544.260869565218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2018</v>
      </c>
      <c r="D25" s="480">
        <v>82079.095842350289</v>
      </c>
      <c r="E25" s="481">
        <v>2145.911111111111</v>
      </c>
      <c r="F25" s="480">
        <v>79933.184731239176</v>
      </c>
      <c r="G25" s="481">
        <v>12963.911111111111</v>
      </c>
      <c r="H25" s="482">
        <v>12963.911111111111</v>
      </c>
      <c r="I25" s="476">
        <f t="shared" si="0"/>
        <v>0</v>
      </c>
      <c r="J25" s="476"/>
      <c r="K25" s="477">
        <f>G25</f>
        <v>12963.911111111111</v>
      </c>
      <c r="L25" s="551">
        <f t="shared" si="7"/>
        <v>0</v>
      </c>
      <c r="M25" s="477">
        <f>H25</f>
        <v>12963.911111111111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2019</v>
      </c>
      <c r="D26" s="480">
        <v>79933.184731239176</v>
      </c>
      <c r="E26" s="481">
        <v>2145.911111111111</v>
      </c>
      <c r="F26" s="480">
        <v>77787.273620128064</v>
      </c>
      <c r="G26" s="481">
        <v>12672.911111111111</v>
      </c>
      <c r="H26" s="482">
        <v>12672.911111111111</v>
      </c>
      <c r="I26" s="476">
        <f t="shared" si="0"/>
        <v>0</v>
      </c>
      <c r="J26" s="476"/>
      <c r="K26" s="477">
        <f>G26</f>
        <v>12672.911111111111</v>
      </c>
      <c r="L26" s="551">
        <f t="shared" ref="L26" si="10">IF(K26&lt;&gt;0,+G26-K26,0)</f>
        <v>0</v>
      </c>
      <c r="M26" s="477">
        <f>H26</f>
        <v>12672.911111111111</v>
      </c>
      <c r="N26" s="479">
        <f t="shared" ref="N26" si="11">IF(M26&lt;&gt;0,+H26-M26,0)</f>
        <v>0</v>
      </c>
      <c r="O26" s="479">
        <f t="shared" ref="O26" si="12">+N26-L26</f>
        <v>0</v>
      </c>
      <c r="P26" s="243"/>
    </row>
    <row r="27" spans="2:16" ht="12.5">
      <c r="B27" s="567" t="str">
        <f t="shared" si="6"/>
        <v/>
      </c>
      <c r="C27" s="473">
        <f>IF(D11="","-",+C26+1)</f>
        <v>2020</v>
      </c>
      <c r="D27" s="480">
        <v>77787.273620128064</v>
      </c>
      <c r="E27" s="481">
        <v>2299.1904761904761</v>
      </c>
      <c r="F27" s="480">
        <v>75488.083143937591</v>
      </c>
      <c r="G27" s="481">
        <v>10576.425832738674</v>
      </c>
      <c r="H27" s="482">
        <v>10576.425832738674</v>
      </c>
      <c r="I27" s="476">
        <f t="shared" si="0"/>
        <v>0</v>
      </c>
      <c r="J27" s="476"/>
      <c r="K27" s="477">
        <f>G27</f>
        <v>10576.425832738674</v>
      </c>
      <c r="L27" s="551">
        <f t="shared" ref="L27" si="13">IF(K27&lt;&gt;0,+G27-K27,0)</f>
        <v>0</v>
      </c>
      <c r="M27" s="477">
        <f>H27</f>
        <v>10576.425832738674</v>
      </c>
      <c r="N27" s="479">
        <f t="shared" si="4"/>
        <v>0</v>
      </c>
      <c r="O27" s="479">
        <f t="shared" si="5"/>
        <v>0</v>
      </c>
      <c r="P27" s="243"/>
    </row>
    <row r="28" spans="2:16" ht="12.5">
      <c r="B28" s="160" t="str">
        <f t="shared" si="6"/>
        <v/>
      </c>
      <c r="C28" s="473">
        <f>IF(D11="","-",+C27+1)</f>
        <v>2021</v>
      </c>
      <c r="D28" s="486">
        <f>IF(F27+SUM(E$17:E27)=D$10,F27,D$10-SUM(E$17:E27))</f>
        <v>75488.083143937591</v>
      </c>
      <c r="E28" s="485">
        <f>IF(+I14&lt;F27,I14,D28)</f>
        <v>2245.7209302325582</v>
      </c>
      <c r="F28" s="486">
        <f t="shared" ref="F28:F48" si="14">+D28-E28</f>
        <v>73242.362213705026</v>
      </c>
      <c r="G28" s="487">
        <f t="shared" ref="G28:G72" si="15">(D28+F28)/2*I$12+E28</f>
        <v>10801.910922215007</v>
      </c>
      <c r="H28" s="456">
        <f t="shared" ref="H28:H72" si="16">+(D28+F28)/2*I$13+E28</f>
        <v>10801.910922215007</v>
      </c>
      <c r="I28" s="476">
        <f t="shared" si="0"/>
        <v>0</v>
      </c>
      <c r="J28" s="476"/>
      <c r="K28" s="488"/>
      <c r="L28" s="479">
        <f t="shared" si="2"/>
        <v>0</v>
      </c>
      <c r="M28" s="488"/>
      <c r="N28" s="479">
        <f t="shared" si="4"/>
        <v>0</v>
      </c>
      <c r="O28" s="479">
        <f t="shared" si="5"/>
        <v>0</v>
      </c>
      <c r="P28" s="243"/>
    </row>
    <row r="29" spans="2:16" ht="12.5">
      <c r="B29" s="160" t="str">
        <f t="shared" si="6"/>
        <v/>
      </c>
      <c r="C29" s="473">
        <f>IF(D11="","-",+C28+1)</f>
        <v>2022</v>
      </c>
      <c r="D29" s="486">
        <f>IF(F28+SUM(E$17:E28)=D$10,F28,D$10-SUM(E$17:E28))</f>
        <v>73242.362213705026</v>
      </c>
      <c r="E29" s="485">
        <f>IF(+I14&lt;F28,I14,D29)</f>
        <v>2245.7209302325582</v>
      </c>
      <c r="F29" s="486">
        <f t="shared" si="14"/>
        <v>70996.641283472462</v>
      </c>
      <c r="G29" s="487">
        <f t="shared" si="15"/>
        <v>10543.526501972916</v>
      </c>
      <c r="H29" s="456">
        <f t="shared" si="16"/>
        <v>10543.526501972916</v>
      </c>
      <c r="I29" s="476">
        <f t="shared" si="0"/>
        <v>0</v>
      </c>
      <c r="J29" s="476"/>
      <c r="K29" s="488"/>
      <c r="L29" s="479">
        <f t="shared" si="2"/>
        <v>0</v>
      </c>
      <c r="M29" s="488"/>
      <c r="N29" s="479">
        <f t="shared" si="4"/>
        <v>0</v>
      </c>
      <c r="O29" s="479">
        <f t="shared" si="5"/>
        <v>0</v>
      </c>
      <c r="P29" s="243"/>
    </row>
    <row r="30" spans="2:16" ht="12.5">
      <c r="B30" s="160" t="str">
        <f t="shared" si="6"/>
        <v/>
      </c>
      <c r="C30" s="473">
        <f>IF(D11="","-",+C29+1)</f>
        <v>2023</v>
      </c>
      <c r="D30" s="486">
        <f>IF(F29+SUM(E$17:E29)=D$10,F29,D$10-SUM(E$17:E29))</f>
        <v>70996.641283472462</v>
      </c>
      <c r="E30" s="485">
        <f>IF(+I14&lt;F29,I14,D30)</f>
        <v>2245.7209302325582</v>
      </c>
      <c r="F30" s="486">
        <f t="shared" si="14"/>
        <v>68750.920353239897</v>
      </c>
      <c r="G30" s="487">
        <f t="shared" si="15"/>
        <v>10285.142081730823</v>
      </c>
      <c r="H30" s="456">
        <f t="shared" si="16"/>
        <v>10285.142081730823</v>
      </c>
      <c r="I30" s="476">
        <f t="shared" si="0"/>
        <v>0</v>
      </c>
      <c r="J30" s="476"/>
      <c r="K30" s="488"/>
      <c r="L30" s="479">
        <f t="shared" si="2"/>
        <v>0</v>
      </c>
      <c r="M30" s="488"/>
      <c r="N30" s="479">
        <f t="shared" si="4"/>
        <v>0</v>
      </c>
      <c r="O30" s="479">
        <f t="shared" si="5"/>
        <v>0</v>
      </c>
      <c r="P30" s="243"/>
    </row>
    <row r="31" spans="2:16" ht="12.5">
      <c r="B31" s="160" t="str">
        <f t="shared" si="6"/>
        <v>IU</v>
      </c>
      <c r="C31" s="473">
        <f>IF(D11="","-",+C30+1)</f>
        <v>2024</v>
      </c>
      <c r="D31" s="486">
        <f>IF(F30+SUM(E$17:E30)=D$10,F30,D$10-SUM(E$17:E30))</f>
        <v>68750.920353239955</v>
      </c>
      <c r="E31" s="485">
        <f>IF(+I14&lt;F30,I14,D31)</f>
        <v>2245.7209302325582</v>
      </c>
      <c r="F31" s="486">
        <f t="shared" si="14"/>
        <v>66505.199423007391</v>
      </c>
      <c r="G31" s="487">
        <f t="shared" si="15"/>
        <v>10026.757661488737</v>
      </c>
      <c r="H31" s="456">
        <f t="shared" si="16"/>
        <v>10026.757661488737</v>
      </c>
      <c r="I31" s="476">
        <f t="shared" si="0"/>
        <v>0</v>
      </c>
      <c r="J31" s="476"/>
      <c r="K31" s="488"/>
      <c r="L31" s="479">
        <f t="shared" si="2"/>
        <v>0</v>
      </c>
      <c r="M31" s="488"/>
      <c r="N31" s="479">
        <f t="shared" si="4"/>
        <v>0</v>
      </c>
      <c r="O31" s="479">
        <f t="shared" si="5"/>
        <v>0</v>
      </c>
      <c r="P31" s="243"/>
    </row>
    <row r="32" spans="2:16" ht="12.5">
      <c r="B32" s="160" t="str">
        <f t="shared" si="6"/>
        <v/>
      </c>
      <c r="C32" s="473">
        <f>IF(D11="","-",+C31+1)</f>
        <v>2025</v>
      </c>
      <c r="D32" s="486">
        <f>IF(F31+SUM(E$17:E31)=D$10,F31,D$10-SUM(E$17:E31))</f>
        <v>66505.199423007391</v>
      </c>
      <c r="E32" s="485">
        <f>IF(+I14&lt;F31,I14,D32)</f>
        <v>2245.7209302325582</v>
      </c>
      <c r="F32" s="486">
        <f t="shared" si="14"/>
        <v>64259.478492774833</v>
      </c>
      <c r="G32" s="487">
        <f t="shared" si="15"/>
        <v>9768.3732412466452</v>
      </c>
      <c r="H32" s="456">
        <f t="shared" si="16"/>
        <v>9768.3732412466452</v>
      </c>
      <c r="I32" s="476">
        <f t="shared" si="0"/>
        <v>0</v>
      </c>
      <c r="J32" s="476"/>
      <c r="K32" s="488"/>
      <c r="L32" s="479">
        <f t="shared" si="2"/>
        <v>0</v>
      </c>
      <c r="M32" s="488"/>
      <c r="N32" s="479">
        <f t="shared" si="4"/>
        <v>0</v>
      </c>
      <c r="O32" s="479">
        <f t="shared" si="5"/>
        <v>0</v>
      </c>
      <c r="P32" s="243"/>
    </row>
    <row r="33" spans="2:16" ht="12.5">
      <c r="B33" s="160" t="str">
        <f t="shared" si="6"/>
        <v/>
      </c>
      <c r="C33" s="473">
        <f>IF(D11="","-",+C32+1)</f>
        <v>2026</v>
      </c>
      <c r="D33" s="486">
        <f>IF(F32+SUM(E$17:E32)=D$10,F32,D$10-SUM(E$17:E32))</f>
        <v>64259.478492774833</v>
      </c>
      <c r="E33" s="485">
        <f>IF(+I14&lt;F32,I14,D33)</f>
        <v>2245.7209302325582</v>
      </c>
      <c r="F33" s="486">
        <f t="shared" si="14"/>
        <v>62013.757562542276</v>
      </c>
      <c r="G33" s="487">
        <f t="shared" si="15"/>
        <v>9509.9888210045519</v>
      </c>
      <c r="H33" s="456">
        <f t="shared" si="16"/>
        <v>9509.9888210045519</v>
      </c>
      <c r="I33" s="476">
        <f t="shared" si="0"/>
        <v>0</v>
      </c>
      <c r="J33" s="476"/>
      <c r="K33" s="488"/>
      <c r="L33" s="479">
        <f t="shared" si="2"/>
        <v>0</v>
      </c>
      <c r="M33" s="488"/>
      <c r="N33" s="479">
        <f t="shared" si="4"/>
        <v>0</v>
      </c>
      <c r="O33" s="479">
        <f t="shared" si="5"/>
        <v>0</v>
      </c>
      <c r="P33" s="243"/>
    </row>
    <row r="34" spans="2:16" ht="12.5">
      <c r="B34" s="160" t="str">
        <f t="shared" si="6"/>
        <v/>
      </c>
      <c r="C34" s="473">
        <f>IF(D11="","-",+C33+1)</f>
        <v>2027</v>
      </c>
      <c r="D34" s="486">
        <f>IF(F33+SUM(E$17:E33)=D$10,F33,D$10-SUM(E$17:E33))</f>
        <v>62013.757562542276</v>
      </c>
      <c r="E34" s="485">
        <f>IF(+I14&lt;F33,I14,D34)</f>
        <v>2245.7209302325582</v>
      </c>
      <c r="F34" s="486">
        <f t="shared" si="14"/>
        <v>59768.036632309719</v>
      </c>
      <c r="G34" s="487">
        <f t="shared" si="15"/>
        <v>9251.6044007624605</v>
      </c>
      <c r="H34" s="456">
        <f t="shared" si="16"/>
        <v>9251.6044007624605</v>
      </c>
      <c r="I34" s="476">
        <f t="shared" si="0"/>
        <v>0</v>
      </c>
      <c r="J34" s="476"/>
      <c r="K34" s="488"/>
      <c r="L34" s="479">
        <f t="shared" si="2"/>
        <v>0</v>
      </c>
      <c r="M34" s="488"/>
      <c r="N34" s="479">
        <f t="shared" si="4"/>
        <v>0</v>
      </c>
      <c r="O34" s="479">
        <f t="shared" si="5"/>
        <v>0</v>
      </c>
      <c r="P34" s="243"/>
    </row>
    <row r="35" spans="2:16" ht="12.5">
      <c r="B35" s="160" t="str">
        <f t="shared" si="6"/>
        <v/>
      </c>
      <c r="C35" s="473">
        <f>IF(D11="","-",+C34+1)</f>
        <v>2028</v>
      </c>
      <c r="D35" s="486">
        <f>IF(F34+SUM(E$17:E34)=D$10,F34,D$10-SUM(E$17:E34))</f>
        <v>59768.036632309719</v>
      </c>
      <c r="E35" s="485">
        <f>IF(+I14&lt;F34,I14,D35)</f>
        <v>2245.7209302325582</v>
      </c>
      <c r="F35" s="486">
        <f t="shared" si="14"/>
        <v>57522.315702077161</v>
      </c>
      <c r="G35" s="487">
        <f t="shared" si="15"/>
        <v>8993.2199805203672</v>
      </c>
      <c r="H35" s="456">
        <f t="shared" si="16"/>
        <v>8993.2199805203672</v>
      </c>
      <c r="I35" s="476">
        <f t="shared" si="0"/>
        <v>0</v>
      </c>
      <c r="J35" s="476"/>
      <c r="K35" s="488"/>
      <c r="L35" s="479">
        <f t="shared" si="2"/>
        <v>0</v>
      </c>
      <c r="M35" s="488"/>
      <c r="N35" s="479">
        <f t="shared" si="4"/>
        <v>0</v>
      </c>
      <c r="O35" s="479">
        <f t="shared" si="5"/>
        <v>0</v>
      </c>
      <c r="P35" s="243"/>
    </row>
    <row r="36" spans="2:16" ht="12.5">
      <c r="B36" s="160" t="str">
        <f t="shared" si="6"/>
        <v/>
      </c>
      <c r="C36" s="473">
        <f>IF(D11="","-",+C35+1)</f>
        <v>2029</v>
      </c>
      <c r="D36" s="486">
        <f>IF(F35+SUM(E$17:E35)=D$10,F35,D$10-SUM(E$17:E35))</f>
        <v>57522.315702077161</v>
      </c>
      <c r="E36" s="485">
        <f>IF(+I14&lt;F35,I14,D36)</f>
        <v>2245.7209302325582</v>
      </c>
      <c r="F36" s="486">
        <f t="shared" si="14"/>
        <v>55276.594771844604</v>
      </c>
      <c r="G36" s="487">
        <f t="shared" si="15"/>
        <v>8734.8355602782758</v>
      </c>
      <c r="H36" s="456">
        <f t="shared" si="16"/>
        <v>8734.8355602782758</v>
      </c>
      <c r="I36" s="476">
        <f t="shared" si="0"/>
        <v>0</v>
      </c>
      <c r="J36" s="476"/>
      <c r="K36" s="488"/>
      <c r="L36" s="479">
        <f t="shared" si="2"/>
        <v>0</v>
      </c>
      <c r="M36" s="488"/>
      <c r="N36" s="479">
        <f t="shared" si="4"/>
        <v>0</v>
      </c>
      <c r="O36" s="479">
        <f t="shared" si="5"/>
        <v>0</v>
      </c>
      <c r="P36" s="243"/>
    </row>
    <row r="37" spans="2:16" ht="12.5">
      <c r="B37" s="160" t="str">
        <f t="shared" si="6"/>
        <v/>
      </c>
      <c r="C37" s="473">
        <f>IF(D11="","-",+C36+1)</f>
        <v>2030</v>
      </c>
      <c r="D37" s="486">
        <f>IF(F36+SUM(E$17:E36)=D$10,F36,D$10-SUM(E$17:E36))</f>
        <v>55276.594771844604</v>
      </c>
      <c r="E37" s="485">
        <f>IF(+I14&lt;F36,I14,D37)</f>
        <v>2245.7209302325582</v>
      </c>
      <c r="F37" s="486">
        <f t="shared" si="14"/>
        <v>53030.873841612047</v>
      </c>
      <c r="G37" s="487">
        <f t="shared" si="15"/>
        <v>8476.4511400361844</v>
      </c>
      <c r="H37" s="456">
        <f t="shared" si="16"/>
        <v>8476.4511400361844</v>
      </c>
      <c r="I37" s="476">
        <f t="shared" si="0"/>
        <v>0</v>
      </c>
      <c r="J37" s="476"/>
      <c r="K37" s="488"/>
      <c r="L37" s="479">
        <f t="shared" si="2"/>
        <v>0</v>
      </c>
      <c r="M37" s="488"/>
      <c r="N37" s="479">
        <f t="shared" si="4"/>
        <v>0</v>
      </c>
      <c r="O37" s="479">
        <f t="shared" si="5"/>
        <v>0</v>
      </c>
      <c r="P37" s="243"/>
    </row>
    <row r="38" spans="2:16" ht="12.5">
      <c r="B38" s="160" t="str">
        <f t="shared" si="6"/>
        <v/>
      </c>
      <c r="C38" s="473">
        <f>IF(D11="","-",+C37+1)</f>
        <v>2031</v>
      </c>
      <c r="D38" s="486">
        <f>IF(F37+SUM(E$17:E37)=D$10,F37,D$10-SUM(E$17:E37))</f>
        <v>53030.873841612047</v>
      </c>
      <c r="E38" s="485">
        <f>IF(+I14&lt;F37,I14,D38)</f>
        <v>2245.7209302325582</v>
      </c>
      <c r="F38" s="486">
        <f t="shared" si="14"/>
        <v>50785.15291137949</v>
      </c>
      <c r="G38" s="487">
        <f t="shared" si="15"/>
        <v>8218.0667197940929</v>
      </c>
      <c r="H38" s="456">
        <f t="shared" si="16"/>
        <v>8218.0667197940929</v>
      </c>
      <c r="I38" s="476">
        <f t="shared" si="0"/>
        <v>0</v>
      </c>
      <c r="J38" s="476"/>
      <c r="K38" s="488"/>
      <c r="L38" s="479">
        <f t="shared" si="2"/>
        <v>0</v>
      </c>
      <c r="M38" s="488"/>
      <c r="N38" s="479">
        <f t="shared" si="4"/>
        <v>0</v>
      </c>
      <c r="O38" s="479">
        <f t="shared" si="5"/>
        <v>0</v>
      </c>
      <c r="P38" s="243"/>
    </row>
    <row r="39" spans="2:16" ht="12.5">
      <c r="B39" s="160" t="str">
        <f t="shared" si="6"/>
        <v/>
      </c>
      <c r="C39" s="473">
        <f>IF(D11="","-",+C38+1)</f>
        <v>2032</v>
      </c>
      <c r="D39" s="486">
        <f>IF(F38+SUM(E$17:E38)=D$10,F38,D$10-SUM(E$17:E38))</f>
        <v>50785.15291137949</v>
      </c>
      <c r="E39" s="485">
        <f>IF(+I14&lt;F38,I14,D39)</f>
        <v>2245.7209302325582</v>
      </c>
      <c r="F39" s="486">
        <f t="shared" si="14"/>
        <v>48539.431981146932</v>
      </c>
      <c r="G39" s="487">
        <f t="shared" si="15"/>
        <v>7959.6822995519988</v>
      </c>
      <c r="H39" s="456">
        <f t="shared" si="16"/>
        <v>7959.6822995519988</v>
      </c>
      <c r="I39" s="476">
        <f t="shared" si="0"/>
        <v>0</v>
      </c>
      <c r="J39" s="476"/>
      <c r="K39" s="488"/>
      <c r="L39" s="479">
        <f t="shared" si="2"/>
        <v>0</v>
      </c>
      <c r="M39" s="488"/>
      <c r="N39" s="479">
        <f t="shared" si="4"/>
        <v>0</v>
      </c>
      <c r="O39" s="479">
        <f t="shared" si="5"/>
        <v>0</v>
      </c>
      <c r="P39" s="243"/>
    </row>
    <row r="40" spans="2:16" ht="12.5">
      <c r="B40" s="160" t="str">
        <f t="shared" si="6"/>
        <v/>
      </c>
      <c r="C40" s="473">
        <f>IF(D11="","-",+C39+1)</f>
        <v>2033</v>
      </c>
      <c r="D40" s="486">
        <f>IF(F39+SUM(E$17:E39)=D$10,F39,D$10-SUM(E$17:E39))</f>
        <v>48539.431981146932</v>
      </c>
      <c r="E40" s="485">
        <f>IF(+I14&lt;F39,I14,D40)</f>
        <v>2245.7209302325582</v>
      </c>
      <c r="F40" s="486">
        <f t="shared" si="14"/>
        <v>46293.711050914375</v>
      </c>
      <c r="G40" s="487">
        <f t="shared" si="15"/>
        <v>7701.2978793099073</v>
      </c>
      <c r="H40" s="456">
        <f t="shared" si="16"/>
        <v>7701.2978793099073</v>
      </c>
      <c r="I40" s="476">
        <f t="shared" si="0"/>
        <v>0</v>
      </c>
      <c r="J40" s="476"/>
      <c r="K40" s="488"/>
      <c r="L40" s="479">
        <f t="shared" si="2"/>
        <v>0</v>
      </c>
      <c r="M40" s="488"/>
      <c r="N40" s="479">
        <f t="shared" si="4"/>
        <v>0</v>
      </c>
      <c r="O40" s="479">
        <f t="shared" si="5"/>
        <v>0</v>
      </c>
      <c r="P40" s="243"/>
    </row>
    <row r="41" spans="2:16" ht="12.5">
      <c r="B41" s="160" t="str">
        <f t="shared" si="6"/>
        <v/>
      </c>
      <c r="C41" s="473">
        <f>IF(D11="","-",+C40+1)</f>
        <v>2034</v>
      </c>
      <c r="D41" s="486">
        <f>IF(F40+SUM(E$17:E40)=D$10,F40,D$10-SUM(E$17:E40))</f>
        <v>46293.711050914375</v>
      </c>
      <c r="E41" s="485">
        <f>IF(+I14&lt;F40,I14,D41)</f>
        <v>2245.7209302325582</v>
      </c>
      <c r="F41" s="486">
        <f t="shared" si="14"/>
        <v>44047.990120681818</v>
      </c>
      <c r="G41" s="487">
        <f t="shared" si="15"/>
        <v>7442.913459067815</v>
      </c>
      <c r="H41" s="456">
        <f t="shared" si="16"/>
        <v>7442.913459067815</v>
      </c>
      <c r="I41" s="476">
        <f t="shared" si="0"/>
        <v>0</v>
      </c>
      <c r="J41" s="476"/>
      <c r="K41" s="488"/>
      <c r="L41" s="479">
        <f t="shared" si="2"/>
        <v>0</v>
      </c>
      <c r="M41" s="488"/>
      <c r="N41" s="479">
        <f t="shared" si="4"/>
        <v>0</v>
      </c>
      <c r="O41" s="479">
        <f t="shared" si="5"/>
        <v>0</v>
      </c>
      <c r="P41" s="243"/>
    </row>
    <row r="42" spans="2:16" ht="12.5">
      <c r="B42" s="160" t="str">
        <f t="shared" si="6"/>
        <v/>
      </c>
      <c r="C42" s="473">
        <f>IF(D11="","-",+C41+1)</f>
        <v>2035</v>
      </c>
      <c r="D42" s="486">
        <f>IF(F41+SUM(E$17:E41)=D$10,F41,D$10-SUM(E$17:E41))</f>
        <v>44047.990120681818</v>
      </c>
      <c r="E42" s="485">
        <f>IF(+I14&lt;F41,I14,D42)</f>
        <v>2245.7209302325582</v>
      </c>
      <c r="F42" s="486">
        <f t="shared" si="14"/>
        <v>41802.26919044926</v>
      </c>
      <c r="G42" s="487">
        <f t="shared" si="15"/>
        <v>7184.5290388257235</v>
      </c>
      <c r="H42" s="456">
        <f t="shared" si="16"/>
        <v>7184.5290388257235</v>
      </c>
      <c r="I42" s="476">
        <f t="shared" si="0"/>
        <v>0</v>
      </c>
      <c r="J42" s="476"/>
      <c r="K42" s="488"/>
      <c r="L42" s="479">
        <f t="shared" si="2"/>
        <v>0</v>
      </c>
      <c r="M42" s="488"/>
      <c r="N42" s="479">
        <f t="shared" si="4"/>
        <v>0</v>
      </c>
      <c r="O42" s="479">
        <f t="shared" si="5"/>
        <v>0</v>
      </c>
      <c r="P42" s="243"/>
    </row>
    <row r="43" spans="2:16" ht="12.5">
      <c r="B43" s="160" t="str">
        <f t="shared" si="6"/>
        <v/>
      </c>
      <c r="C43" s="473">
        <f>IF(D11="","-",+C42+1)</f>
        <v>2036</v>
      </c>
      <c r="D43" s="486">
        <f>IF(F42+SUM(E$17:E42)=D$10,F42,D$10-SUM(E$17:E42))</f>
        <v>41802.26919044926</v>
      </c>
      <c r="E43" s="485">
        <f>IF(+I14&lt;F42,I14,D43)</f>
        <v>2245.7209302325582</v>
      </c>
      <c r="F43" s="486">
        <f t="shared" si="14"/>
        <v>39556.548260216703</v>
      </c>
      <c r="G43" s="487">
        <f t="shared" si="15"/>
        <v>6926.1446185836303</v>
      </c>
      <c r="H43" s="456">
        <f t="shared" si="16"/>
        <v>6926.1446185836303</v>
      </c>
      <c r="I43" s="476">
        <f t="shared" si="0"/>
        <v>0</v>
      </c>
      <c r="J43" s="476"/>
      <c r="K43" s="488"/>
      <c r="L43" s="479">
        <f t="shared" si="2"/>
        <v>0</v>
      </c>
      <c r="M43" s="488"/>
      <c r="N43" s="479">
        <f t="shared" si="4"/>
        <v>0</v>
      </c>
      <c r="O43" s="479">
        <f t="shared" si="5"/>
        <v>0</v>
      </c>
      <c r="P43" s="243"/>
    </row>
    <row r="44" spans="2:16" ht="12.5">
      <c r="B44" s="160" t="str">
        <f t="shared" si="6"/>
        <v/>
      </c>
      <c r="C44" s="473">
        <f>IF(D11="","-",+C43+1)</f>
        <v>2037</v>
      </c>
      <c r="D44" s="486">
        <f>IF(F43+SUM(E$17:E43)=D$10,F43,D$10-SUM(E$17:E43))</f>
        <v>39556.548260216703</v>
      </c>
      <c r="E44" s="485">
        <f>IF(+I14&lt;F43,I14,D44)</f>
        <v>2245.7209302325582</v>
      </c>
      <c r="F44" s="486">
        <f t="shared" si="14"/>
        <v>37310.827329984146</v>
      </c>
      <c r="G44" s="487">
        <f t="shared" si="15"/>
        <v>6667.7601983415389</v>
      </c>
      <c r="H44" s="456">
        <f t="shared" si="16"/>
        <v>6667.7601983415389</v>
      </c>
      <c r="I44" s="476">
        <f t="shared" si="0"/>
        <v>0</v>
      </c>
      <c r="J44" s="476"/>
      <c r="K44" s="488"/>
      <c r="L44" s="479">
        <f t="shared" si="2"/>
        <v>0</v>
      </c>
      <c r="M44" s="488"/>
      <c r="N44" s="479">
        <f t="shared" si="4"/>
        <v>0</v>
      </c>
      <c r="O44" s="479">
        <f t="shared" si="5"/>
        <v>0</v>
      </c>
      <c r="P44" s="243"/>
    </row>
    <row r="45" spans="2:16" ht="12.5">
      <c r="B45" s="160" t="str">
        <f t="shared" si="6"/>
        <v/>
      </c>
      <c r="C45" s="473">
        <f>IF(D11="","-",+C44+1)</f>
        <v>2038</v>
      </c>
      <c r="D45" s="486">
        <f>IF(F44+SUM(E$17:E44)=D$10,F44,D$10-SUM(E$17:E44))</f>
        <v>37310.827329984146</v>
      </c>
      <c r="E45" s="485">
        <f>IF(+I14&lt;F44,I14,D45)</f>
        <v>2245.7209302325582</v>
      </c>
      <c r="F45" s="486">
        <f t="shared" si="14"/>
        <v>35065.106399751588</v>
      </c>
      <c r="G45" s="487">
        <f t="shared" si="15"/>
        <v>6409.3757780994456</v>
      </c>
      <c r="H45" s="456">
        <f t="shared" si="16"/>
        <v>6409.3757780994456</v>
      </c>
      <c r="I45" s="476">
        <f t="shared" si="0"/>
        <v>0</v>
      </c>
      <c r="J45" s="476"/>
      <c r="K45" s="488"/>
      <c r="L45" s="479">
        <f t="shared" si="2"/>
        <v>0</v>
      </c>
      <c r="M45" s="488"/>
      <c r="N45" s="479">
        <f t="shared" si="4"/>
        <v>0</v>
      </c>
      <c r="O45" s="479">
        <f t="shared" si="5"/>
        <v>0</v>
      </c>
      <c r="P45" s="243"/>
    </row>
    <row r="46" spans="2:16" ht="12.5">
      <c r="B46" s="160" t="str">
        <f t="shared" si="6"/>
        <v/>
      </c>
      <c r="C46" s="473">
        <f>IF(D11="","-",+C45+1)</f>
        <v>2039</v>
      </c>
      <c r="D46" s="486">
        <f>IF(F45+SUM(E$17:E45)=D$10,F45,D$10-SUM(E$17:E45))</f>
        <v>35065.106399751588</v>
      </c>
      <c r="E46" s="485">
        <f>IF(+I14&lt;F45,I14,D46)</f>
        <v>2245.7209302325582</v>
      </c>
      <c r="F46" s="486">
        <f t="shared" si="14"/>
        <v>32819.385469519031</v>
      </c>
      <c r="G46" s="487">
        <f t="shared" si="15"/>
        <v>6150.9913578573542</v>
      </c>
      <c r="H46" s="456">
        <f t="shared" si="16"/>
        <v>6150.9913578573542</v>
      </c>
      <c r="I46" s="476">
        <f t="shared" si="0"/>
        <v>0</v>
      </c>
      <c r="J46" s="476"/>
      <c r="K46" s="488"/>
      <c r="L46" s="479">
        <f t="shared" si="2"/>
        <v>0</v>
      </c>
      <c r="M46" s="488"/>
      <c r="N46" s="479">
        <f t="shared" si="4"/>
        <v>0</v>
      </c>
      <c r="O46" s="479">
        <f t="shared" si="5"/>
        <v>0</v>
      </c>
      <c r="P46" s="243"/>
    </row>
    <row r="47" spans="2:16" ht="12.5">
      <c r="B47" s="160" t="str">
        <f t="shared" si="6"/>
        <v/>
      </c>
      <c r="C47" s="473">
        <f>IF(D11="","-",+C46+1)</f>
        <v>2040</v>
      </c>
      <c r="D47" s="486">
        <f>IF(F46+SUM(E$17:E46)=D$10,F46,D$10-SUM(E$17:E46))</f>
        <v>32819.385469519031</v>
      </c>
      <c r="E47" s="485">
        <f>IF(+I14&lt;F46,I14,D47)</f>
        <v>2245.7209302325582</v>
      </c>
      <c r="F47" s="486">
        <f t="shared" si="14"/>
        <v>30573.664539286474</v>
      </c>
      <c r="G47" s="487">
        <f t="shared" si="15"/>
        <v>5892.6069376152627</v>
      </c>
      <c r="H47" s="456">
        <f t="shared" si="16"/>
        <v>5892.6069376152627</v>
      </c>
      <c r="I47" s="476">
        <f t="shared" si="0"/>
        <v>0</v>
      </c>
      <c r="J47" s="476"/>
      <c r="K47" s="488"/>
      <c r="L47" s="479">
        <f t="shared" si="2"/>
        <v>0</v>
      </c>
      <c r="M47" s="488"/>
      <c r="N47" s="479">
        <f t="shared" si="4"/>
        <v>0</v>
      </c>
      <c r="O47" s="479">
        <f t="shared" si="5"/>
        <v>0</v>
      </c>
      <c r="P47" s="243"/>
    </row>
    <row r="48" spans="2:16" ht="12.5">
      <c r="B48" s="160" t="str">
        <f t="shared" si="6"/>
        <v/>
      </c>
      <c r="C48" s="473">
        <f>IF(D11="","-",+C47+1)</f>
        <v>2041</v>
      </c>
      <c r="D48" s="486">
        <f>IF(F47+SUM(E$17:E47)=D$10,F47,D$10-SUM(E$17:E47))</f>
        <v>30573.664539286474</v>
      </c>
      <c r="E48" s="485">
        <f>IF(+I14&lt;F47,I14,D48)</f>
        <v>2245.7209302325582</v>
      </c>
      <c r="F48" s="486">
        <f t="shared" si="14"/>
        <v>28327.943609053917</v>
      </c>
      <c r="G48" s="487">
        <f t="shared" si="15"/>
        <v>5634.2225173731695</v>
      </c>
      <c r="H48" s="456">
        <f t="shared" si="16"/>
        <v>5634.2225173731695</v>
      </c>
      <c r="I48" s="476">
        <f t="shared" si="0"/>
        <v>0</v>
      </c>
      <c r="J48" s="476"/>
      <c r="K48" s="488"/>
      <c r="L48" s="479">
        <f t="shared" si="2"/>
        <v>0</v>
      </c>
      <c r="M48" s="488"/>
      <c r="N48" s="479">
        <f t="shared" si="4"/>
        <v>0</v>
      </c>
      <c r="O48" s="479">
        <f t="shared" si="5"/>
        <v>0</v>
      </c>
      <c r="P48" s="243"/>
    </row>
    <row r="49" spans="2:16" ht="12.5">
      <c r="B49" s="160" t="str">
        <f t="shared" si="6"/>
        <v/>
      </c>
      <c r="C49" s="473">
        <f>IF(D11="","-",+C48+1)</f>
        <v>2042</v>
      </c>
      <c r="D49" s="486">
        <f>IF(F48+SUM(E$17:E48)=D$10,F48,D$10-SUM(E$17:E48))</f>
        <v>28327.943609053917</v>
      </c>
      <c r="E49" s="485">
        <f>IF(+I14&lt;F48,I14,D49)</f>
        <v>2245.7209302325582</v>
      </c>
      <c r="F49" s="486">
        <f t="shared" ref="F49:F72" si="17">+D49-E49</f>
        <v>26082.222678821359</v>
      </c>
      <c r="G49" s="487">
        <f t="shared" si="15"/>
        <v>5375.838097131078</v>
      </c>
      <c r="H49" s="456">
        <f t="shared" si="16"/>
        <v>5375.838097131078</v>
      </c>
      <c r="I49" s="476">
        <f t="shared" ref="I49:I72" si="18">H49-G49</f>
        <v>0</v>
      </c>
      <c r="J49" s="476"/>
      <c r="K49" s="488"/>
      <c r="L49" s="479">
        <f t="shared" ref="L49:L72" si="19">IF(K49&lt;&gt;0,+G49-K49,0)</f>
        <v>0</v>
      </c>
      <c r="M49" s="488"/>
      <c r="N49" s="479">
        <f t="shared" ref="N49:N72" si="20">IF(M49&lt;&gt;0,+H49-M49,0)</f>
        <v>0</v>
      </c>
      <c r="O49" s="479">
        <f t="shared" ref="O49:O72" si="21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2043</v>
      </c>
      <c r="D50" s="486">
        <f>IF(F49+SUM(E$17:E49)=D$10,F49,D$10-SUM(E$17:E49))</f>
        <v>26082.222678821359</v>
      </c>
      <c r="E50" s="485">
        <f>IF(+I14&lt;F49,I14,D50)</f>
        <v>2245.7209302325582</v>
      </c>
      <c r="F50" s="486">
        <f t="shared" si="17"/>
        <v>23836.501748588802</v>
      </c>
      <c r="G50" s="487">
        <f t="shared" si="15"/>
        <v>5117.4536768889857</v>
      </c>
      <c r="H50" s="456">
        <f t="shared" si="16"/>
        <v>5117.4536768889857</v>
      </c>
      <c r="I50" s="476">
        <f t="shared" si="18"/>
        <v>0</v>
      </c>
      <c r="J50" s="476"/>
      <c r="K50" s="488"/>
      <c r="L50" s="479">
        <f t="shared" si="19"/>
        <v>0</v>
      </c>
      <c r="M50" s="488"/>
      <c r="N50" s="479">
        <f t="shared" si="20"/>
        <v>0</v>
      </c>
      <c r="O50" s="479">
        <f t="shared" si="21"/>
        <v>0</v>
      </c>
      <c r="P50" s="243"/>
    </row>
    <row r="51" spans="2:16" ht="12.5">
      <c r="B51" s="160" t="str">
        <f t="shared" si="6"/>
        <v/>
      </c>
      <c r="C51" s="473">
        <f>IF(D11="","-",+C50+1)</f>
        <v>2044</v>
      </c>
      <c r="D51" s="486">
        <f>IF(F50+SUM(E$17:E50)=D$10,F50,D$10-SUM(E$17:E50))</f>
        <v>23836.501748588802</v>
      </c>
      <c r="E51" s="485">
        <f>IF(+I14&lt;F50,I14,D51)</f>
        <v>2245.7209302325582</v>
      </c>
      <c r="F51" s="486">
        <f t="shared" si="17"/>
        <v>21590.780818356245</v>
      </c>
      <c r="G51" s="487">
        <f t="shared" si="15"/>
        <v>4859.0692566468933</v>
      </c>
      <c r="H51" s="456">
        <f t="shared" si="16"/>
        <v>4859.0692566468933</v>
      </c>
      <c r="I51" s="476">
        <f t="shared" si="18"/>
        <v>0</v>
      </c>
      <c r="J51" s="476"/>
      <c r="K51" s="488"/>
      <c r="L51" s="479">
        <f t="shared" si="19"/>
        <v>0</v>
      </c>
      <c r="M51" s="488"/>
      <c r="N51" s="479">
        <f t="shared" si="20"/>
        <v>0</v>
      </c>
      <c r="O51" s="479">
        <f t="shared" si="21"/>
        <v>0</v>
      </c>
      <c r="P51" s="243"/>
    </row>
    <row r="52" spans="2:16" ht="12.5">
      <c r="B52" s="160" t="str">
        <f t="shared" si="6"/>
        <v/>
      </c>
      <c r="C52" s="473">
        <f>IF(D11="","-",+C51+1)</f>
        <v>2045</v>
      </c>
      <c r="D52" s="486">
        <f>IF(F51+SUM(E$17:E51)=D$10,F51,D$10-SUM(E$17:E51))</f>
        <v>21590.780818356245</v>
      </c>
      <c r="E52" s="485">
        <f>IF(+I14&lt;F51,I14,D52)</f>
        <v>2245.7209302325582</v>
      </c>
      <c r="F52" s="486">
        <f t="shared" si="17"/>
        <v>19345.059888123687</v>
      </c>
      <c r="G52" s="487">
        <f t="shared" si="15"/>
        <v>4600.6848364048019</v>
      </c>
      <c r="H52" s="456">
        <f t="shared" si="16"/>
        <v>4600.6848364048019</v>
      </c>
      <c r="I52" s="476">
        <f t="shared" si="18"/>
        <v>0</v>
      </c>
      <c r="J52" s="476"/>
      <c r="K52" s="488"/>
      <c r="L52" s="479">
        <f t="shared" si="19"/>
        <v>0</v>
      </c>
      <c r="M52" s="488"/>
      <c r="N52" s="479">
        <f t="shared" si="20"/>
        <v>0</v>
      </c>
      <c r="O52" s="479">
        <f t="shared" si="21"/>
        <v>0</v>
      </c>
      <c r="P52" s="243"/>
    </row>
    <row r="53" spans="2:16" ht="12.5">
      <c r="B53" s="160" t="str">
        <f t="shared" si="6"/>
        <v/>
      </c>
      <c r="C53" s="473">
        <f>IF(D11="","-",+C52+1)</f>
        <v>2046</v>
      </c>
      <c r="D53" s="486">
        <f>IF(F52+SUM(E$17:E52)=D$10,F52,D$10-SUM(E$17:E52))</f>
        <v>19345.059888123687</v>
      </c>
      <c r="E53" s="485">
        <f>IF(+I14&lt;F52,I14,D53)</f>
        <v>2245.7209302325582</v>
      </c>
      <c r="F53" s="486">
        <f t="shared" si="17"/>
        <v>17099.33895789113</v>
      </c>
      <c r="G53" s="487">
        <f t="shared" si="15"/>
        <v>4342.3004161627086</v>
      </c>
      <c r="H53" s="456">
        <f t="shared" si="16"/>
        <v>4342.3004161627086</v>
      </c>
      <c r="I53" s="476">
        <f t="shared" si="18"/>
        <v>0</v>
      </c>
      <c r="J53" s="476"/>
      <c r="K53" s="488"/>
      <c r="L53" s="479">
        <f t="shared" si="19"/>
        <v>0</v>
      </c>
      <c r="M53" s="488"/>
      <c r="N53" s="479">
        <f t="shared" si="20"/>
        <v>0</v>
      </c>
      <c r="O53" s="479">
        <f t="shared" si="21"/>
        <v>0</v>
      </c>
      <c r="P53" s="243"/>
    </row>
    <row r="54" spans="2:16" ht="12.5">
      <c r="B54" s="160" t="str">
        <f t="shared" si="6"/>
        <v/>
      </c>
      <c r="C54" s="473">
        <f>IF(D11="","-",+C53+1)</f>
        <v>2047</v>
      </c>
      <c r="D54" s="486">
        <f>IF(F53+SUM(E$17:E53)=D$10,F53,D$10-SUM(E$17:E53))</f>
        <v>17099.33895789113</v>
      </c>
      <c r="E54" s="485">
        <f>IF(+I14&lt;F53,I14,D54)</f>
        <v>2245.7209302325582</v>
      </c>
      <c r="F54" s="486">
        <f t="shared" si="17"/>
        <v>14853.618027658573</v>
      </c>
      <c r="G54" s="487">
        <f t="shared" si="15"/>
        <v>4083.9159959206172</v>
      </c>
      <c r="H54" s="456">
        <f t="shared" si="16"/>
        <v>4083.9159959206172</v>
      </c>
      <c r="I54" s="476">
        <f t="shared" si="18"/>
        <v>0</v>
      </c>
      <c r="J54" s="476"/>
      <c r="K54" s="488"/>
      <c r="L54" s="479">
        <f t="shared" si="19"/>
        <v>0</v>
      </c>
      <c r="M54" s="488"/>
      <c r="N54" s="479">
        <f t="shared" si="20"/>
        <v>0</v>
      </c>
      <c r="O54" s="479">
        <f t="shared" si="21"/>
        <v>0</v>
      </c>
      <c r="P54" s="243"/>
    </row>
    <row r="55" spans="2:16" ht="12.5">
      <c r="B55" s="160" t="str">
        <f t="shared" si="6"/>
        <v>IU</v>
      </c>
      <c r="C55" s="473">
        <f>IF(D11="","-",+C54+1)</f>
        <v>2048</v>
      </c>
      <c r="D55" s="486">
        <f>IF(F54+SUM(E$17:E54)=D$10,F54,D$10-SUM(E$17:E54))</f>
        <v>14853.618027658522</v>
      </c>
      <c r="E55" s="485">
        <f>IF(+I14&lt;F54,I14,D55)</f>
        <v>2245.7209302325582</v>
      </c>
      <c r="F55" s="486">
        <f t="shared" si="17"/>
        <v>12607.897097425965</v>
      </c>
      <c r="G55" s="487">
        <f t="shared" si="15"/>
        <v>3825.5315756785189</v>
      </c>
      <c r="H55" s="456">
        <f t="shared" si="16"/>
        <v>3825.5315756785189</v>
      </c>
      <c r="I55" s="476">
        <f t="shared" si="18"/>
        <v>0</v>
      </c>
      <c r="J55" s="476"/>
      <c r="K55" s="488"/>
      <c r="L55" s="479">
        <f t="shared" si="19"/>
        <v>0</v>
      </c>
      <c r="M55" s="488"/>
      <c r="N55" s="479">
        <f t="shared" si="20"/>
        <v>0</v>
      </c>
      <c r="O55" s="479">
        <f t="shared" si="21"/>
        <v>0</v>
      </c>
      <c r="P55" s="243"/>
    </row>
    <row r="56" spans="2:16" ht="12.5">
      <c r="B56" s="160" t="str">
        <f t="shared" si="6"/>
        <v/>
      </c>
      <c r="C56" s="473">
        <f>IF(D11="","-",+C55+1)</f>
        <v>2049</v>
      </c>
      <c r="D56" s="486">
        <f>IF(F55+SUM(E$17:E55)=D$10,F55,D$10-SUM(E$17:E55))</f>
        <v>12607.897097425965</v>
      </c>
      <c r="E56" s="485">
        <f>IF(+I14&lt;F55,I14,D56)</f>
        <v>2245.7209302325582</v>
      </c>
      <c r="F56" s="486">
        <f t="shared" si="17"/>
        <v>10362.176167193407</v>
      </c>
      <c r="G56" s="487">
        <f t="shared" si="15"/>
        <v>3567.1471554364271</v>
      </c>
      <c r="H56" s="456">
        <f t="shared" si="16"/>
        <v>3567.1471554364271</v>
      </c>
      <c r="I56" s="476">
        <f t="shared" si="18"/>
        <v>0</v>
      </c>
      <c r="J56" s="476"/>
      <c r="K56" s="488"/>
      <c r="L56" s="479">
        <f t="shared" si="19"/>
        <v>0</v>
      </c>
      <c r="M56" s="488"/>
      <c r="N56" s="479">
        <f t="shared" si="20"/>
        <v>0</v>
      </c>
      <c r="O56" s="479">
        <f t="shared" si="21"/>
        <v>0</v>
      </c>
      <c r="P56" s="243"/>
    </row>
    <row r="57" spans="2:16" ht="12.5">
      <c r="B57" s="160" t="str">
        <f t="shared" si="6"/>
        <v/>
      </c>
      <c r="C57" s="473">
        <f>IF(D11="","-",+C56+1)</f>
        <v>2050</v>
      </c>
      <c r="D57" s="486">
        <f>IF(F56+SUM(E$17:E56)=D$10,F56,D$10-SUM(E$17:E56))</f>
        <v>10362.176167193407</v>
      </c>
      <c r="E57" s="485">
        <f>IF(+I14&lt;F56,I14,D57)</f>
        <v>2245.7209302325582</v>
      </c>
      <c r="F57" s="486">
        <f t="shared" si="17"/>
        <v>8116.4552369608491</v>
      </c>
      <c r="G57" s="487">
        <f t="shared" si="15"/>
        <v>3308.7627351943347</v>
      </c>
      <c r="H57" s="456">
        <f t="shared" si="16"/>
        <v>3308.7627351943347</v>
      </c>
      <c r="I57" s="476">
        <f t="shared" si="18"/>
        <v>0</v>
      </c>
      <c r="J57" s="476"/>
      <c r="K57" s="488"/>
      <c r="L57" s="479">
        <f t="shared" si="19"/>
        <v>0</v>
      </c>
      <c r="M57" s="488"/>
      <c r="N57" s="479">
        <f t="shared" si="20"/>
        <v>0</v>
      </c>
      <c r="O57" s="479">
        <f t="shared" si="21"/>
        <v>0</v>
      </c>
      <c r="P57" s="243"/>
    </row>
    <row r="58" spans="2:16" ht="12.5">
      <c r="B58" s="160" t="str">
        <f t="shared" si="6"/>
        <v/>
      </c>
      <c r="C58" s="473">
        <f>IF(D11="","-",+C57+1)</f>
        <v>2051</v>
      </c>
      <c r="D58" s="486">
        <f>IF(F57+SUM(E$17:E57)=D$10,F57,D$10-SUM(E$17:E57))</f>
        <v>8116.4552369608491</v>
      </c>
      <c r="E58" s="485">
        <f>IF(+I14&lt;F57,I14,D58)</f>
        <v>2245.7209302325582</v>
      </c>
      <c r="F58" s="486">
        <f t="shared" si="17"/>
        <v>5870.7343067282909</v>
      </c>
      <c r="G58" s="487">
        <f t="shared" si="15"/>
        <v>3050.3783149522424</v>
      </c>
      <c r="H58" s="456">
        <f t="shared" si="16"/>
        <v>3050.3783149522424</v>
      </c>
      <c r="I58" s="476">
        <f t="shared" si="18"/>
        <v>0</v>
      </c>
      <c r="J58" s="476"/>
      <c r="K58" s="488"/>
      <c r="L58" s="479">
        <f t="shared" si="19"/>
        <v>0</v>
      </c>
      <c r="M58" s="488"/>
      <c r="N58" s="479">
        <f t="shared" si="20"/>
        <v>0</v>
      </c>
      <c r="O58" s="479">
        <f t="shared" si="21"/>
        <v>0</v>
      </c>
      <c r="P58" s="243"/>
    </row>
    <row r="59" spans="2:16" ht="12.5">
      <c r="B59" s="160" t="str">
        <f t="shared" si="6"/>
        <v/>
      </c>
      <c r="C59" s="473">
        <f>IF(D11="","-",+C58+1)</f>
        <v>2052</v>
      </c>
      <c r="D59" s="486">
        <f>IF(F58+SUM(E$17:E58)=D$10,F58,D$10-SUM(E$17:E58))</f>
        <v>5870.7343067282909</v>
      </c>
      <c r="E59" s="485">
        <f>IF(+I14&lt;F58,I14,D59)</f>
        <v>2245.7209302325582</v>
      </c>
      <c r="F59" s="486">
        <f t="shared" si="17"/>
        <v>3625.0133764957327</v>
      </c>
      <c r="G59" s="487">
        <f t="shared" si="15"/>
        <v>2791.99389471015</v>
      </c>
      <c r="H59" s="456">
        <f t="shared" si="16"/>
        <v>2791.99389471015</v>
      </c>
      <c r="I59" s="476">
        <f t="shared" si="18"/>
        <v>0</v>
      </c>
      <c r="J59" s="476"/>
      <c r="K59" s="488"/>
      <c r="L59" s="479">
        <f t="shared" si="19"/>
        <v>0</v>
      </c>
      <c r="M59" s="488"/>
      <c r="N59" s="479">
        <f t="shared" si="20"/>
        <v>0</v>
      </c>
      <c r="O59" s="479">
        <f t="shared" si="21"/>
        <v>0</v>
      </c>
      <c r="P59" s="243"/>
    </row>
    <row r="60" spans="2:16" ht="12.5">
      <c r="B60" s="160" t="str">
        <f t="shared" si="6"/>
        <v/>
      </c>
      <c r="C60" s="473">
        <f>IF(D11="","-",+C59+1)</f>
        <v>2053</v>
      </c>
      <c r="D60" s="486">
        <f>IF(F59+SUM(E$17:E59)=D$10,F59,D$10-SUM(E$17:E59))</f>
        <v>3625.0133764957327</v>
      </c>
      <c r="E60" s="485">
        <f>IF(+I14&lt;F59,I14,D60)</f>
        <v>2245.7209302325582</v>
      </c>
      <c r="F60" s="486">
        <f t="shared" si="17"/>
        <v>1379.2924462631745</v>
      </c>
      <c r="G60" s="487">
        <f t="shared" si="15"/>
        <v>2533.6094744680577</v>
      </c>
      <c r="H60" s="456">
        <f t="shared" si="16"/>
        <v>2533.6094744680577</v>
      </c>
      <c r="I60" s="476">
        <f t="shared" si="18"/>
        <v>0</v>
      </c>
      <c r="J60" s="476"/>
      <c r="K60" s="488"/>
      <c r="L60" s="479">
        <f t="shared" si="19"/>
        <v>0</v>
      </c>
      <c r="M60" s="488"/>
      <c r="N60" s="479">
        <f t="shared" si="20"/>
        <v>0</v>
      </c>
      <c r="O60" s="479">
        <f t="shared" si="21"/>
        <v>0</v>
      </c>
      <c r="P60" s="243"/>
    </row>
    <row r="61" spans="2:16" ht="12.5">
      <c r="B61" s="160" t="str">
        <f t="shared" si="6"/>
        <v/>
      </c>
      <c r="C61" s="473">
        <f>IF(D11="","-",+C60+1)</f>
        <v>2054</v>
      </c>
      <c r="D61" s="486">
        <f>IF(F60+SUM(E$17:E60)=D$10,F60,D$10-SUM(E$17:E60))</f>
        <v>1379.2924462631745</v>
      </c>
      <c r="E61" s="485">
        <f>IF(+I14&lt;F60,I14,D61)</f>
        <v>1379.2924462631745</v>
      </c>
      <c r="F61" s="486">
        <f t="shared" si="17"/>
        <v>0</v>
      </c>
      <c r="G61" s="487">
        <f t="shared" si="15"/>
        <v>1458.6406133204014</v>
      </c>
      <c r="H61" s="456">
        <f t="shared" si="16"/>
        <v>1458.6406133204014</v>
      </c>
      <c r="I61" s="476">
        <f t="shared" si="18"/>
        <v>0</v>
      </c>
      <c r="J61" s="476"/>
      <c r="K61" s="488"/>
      <c r="L61" s="479">
        <f t="shared" si="19"/>
        <v>0</v>
      </c>
      <c r="M61" s="488"/>
      <c r="N61" s="479">
        <f t="shared" si="20"/>
        <v>0</v>
      </c>
      <c r="O61" s="479">
        <f t="shared" si="21"/>
        <v>0</v>
      </c>
      <c r="P61" s="243"/>
    </row>
    <row r="62" spans="2:16" ht="12.5">
      <c r="B62" s="160" t="str">
        <f t="shared" si="6"/>
        <v/>
      </c>
      <c r="C62" s="473">
        <f>IF(D11="","-",+C61+1)</f>
        <v>2055</v>
      </c>
      <c r="D62" s="486">
        <f>IF(F61+SUM(E$17:E61)=D$10,F61,D$10-SUM(E$17:E61))</f>
        <v>0</v>
      </c>
      <c r="E62" s="485">
        <f>IF(+I14&lt;F61,I14,D62)</f>
        <v>0</v>
      </c>
      <c r="F62" s="486">
        <f t="shared" si="17"/>
        <v>0</v>
      </c>
      <c r="G62" s="487">
        <f t="shared" si="15"/>
        <v>0</v>
      </c>
      <c r="H62" s="456">
        <f t="shared" si="16"/>
        <v>0</v>
      </c>
      <c r="I62" s="476">
        <f t="shared" si="18"/>
        <v>0</v>
      </c>
      <c r="J62" s="476"/>
      <c r="K62" s="488"/>
      <c r="L62" s="479">
        <f t="shared" si="19"/>
        <v>0</v>
      </c>
      <c r="M62" s="488"/>
      <c r="N62" s="479">
        <f t="shared" si="20"/>
        <v>0</v>
      </c>
      <c r="O62" s="479">
        <f t="shared" si="21"/>
        <v>0</v>
      </c>
      <c r="P62" s="243"/>
    </row>
    <row r="63" spans="2:16" ht="12.5">
      <c r="B63" s="160" t="str">
        <f t="shared" si="6"/>
        <v/>
      </c>
      <c r="C63" s="473">
        <f>IF(D11="","-",+C62+1)</f>
        <v>2056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7"/>
        <v>0</v>
      </c>
      <c r="G63" s="487">
        <f t="shared" si="15"/>
        <v>0</v>
      </c>
      <c r="H63" s="456">
        <f t="shared" si="16"/>
        <v>0</v>
      </c>
      <c r="I63" s="476">
        <f t="shared" si="18"/>
        <v>0</v>
      </c>
      <c r="J63" s="476"/>
      <c r="K63" s="488"/>
      <c r="L63" s="479">
        <f t="shared" si="19"/>
        <v>0</v>
      </c>
      <c r="M63" s="488"/>
      <c r="N63" s="479">
        <f t="shared" si="20"/>
        <v>0</v>
      </c>
      <c r="O63" s="479">
        <f t="shared" si="21"/>
        <v>0</v>
      </c>
      <c r="P63" s="243"/>
    </row>
    <row r="64" spans="2:16" ht="12.5">
      <c r="B64" s="160" t="str">
        <f t="shared" si="6"/>
        <v/>
      </c>
      <c r="C64" s="473">
        <f>IF(D11="","-",+C63+1)</f>
        <v>2057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7"/>
        <v>0</v>
      </c>
      <c r="G64" s="487">
        <f t="shared" si="15"/>
        <v>0</v>
      </c>
      <c r="H64" s="456">
        <f t="shared" si="16"/>
        <v>0</v>
      </c>
      <c r="I64" s="476">
        <f t="shared" si="18"/>
        <v>0</v>
      </c>
      <c r="J64" s="476"/>
      <c r="K64" s="488"/>
      <c r="L64" s="479">
        <f t="shared" si="19"/>
        <v>0</v>
      </c>
      <c r="M64" s="488"/>
      <c r="N64" s="479">
        <f t="shared" si="20"/>
        <v>0</v>
      </c>
      <c r="O64" s="479">
        <f t="shared" si="21"/>
        <v>0</v>
      </c>
      <c r="P64" s="243"/>
    </row>
    <row r="65" spans="2:16" ht="12.5">
      <c r="B65" s="566" t="str">
        <f t="shared" si="6"/>
        <v/>
      </c>
      <c r="C65" s="473">
        <f>IF(D11="","-",+C64+1)</f>
        <v>2058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7"/>
        <v>0</v>
      </c>
      <c r="G65" s="487">
        <f t="shared" si="15"/>
        <v>0</v>
      </c>
      <c r="H65" s="456">
        <f t="shared" si="16"/>
        <v>0</v>
      </c>
      <c r="I65" s="476">
        <f t="shared" si="18"/>
        <v>0</v>
      </c>
      <c r="J65" s="476"/>
      <c r="K65" s="488"/>
      <c r="L65" s="479">
        <f t="shared" si="19"/>
        <v>0</v>
      </c>
      <c r="M65" s="488"/>
      <c r="N65" s="479">
        <f t="shared" si="20"/>
        <v>0</v>
      </c>
      <c r="O65" s="479">
        <f t="shared" si="21"/>
        <v>0</v>
      </c>
      <c r="P65" s="243"/>
    </row>
    <row r="66" spans="2:16" ht="12.5">
      <c r="B66" s="160" t="str">
        <f t="shared" si="6"/>
        <v/>
      </c>
      <c r="C66" s="473">
        <f>IF(D11="","-",+C65+1)</f>
        <v>2059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7"/>
        <v>0</v>
      </c>
      <c r="G66" s="487">
        <f t="shared" si="15"/>
        <v>0</v>
      </c>
      <c r="H66" s="456">
        <f t="shared" si="16"/>
        <v>0</v>
      </c>
      <c r="I66" s="476">
        <f t="shared" si="18"/>
        <v>0</v>
      </c>
      <c r="J66" s="476"/>
      <c r="K66" s="488"/>
      <c r="L66" s="479">
        <f t="shared" si="19"/>
        <v>0</v>
      </c>
      <c r="M66" s="488"/>
      <c r="N66" s="479">
        <f t="shared" si="20"/>
        <v>0</v>
      </c>
      <c r="O66" s="479">
        <f t="shared" si="21"/>
        <v>0</v>
      </c>
      <c r="P66" s="243"/>
    </row>
    <row r="67" spans="2:16" ht="12.5">
      <c r="B67" s="160" t="str">
        <f t="shared" si="6"/>
        <v/>
      </c>
      <c r="C67" s="473">
        <f>IF(D11="","-",+C66+1)</f>
        <v>2060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7"/>
        <v>0</v>
      </c>
      <c r="G67" s="487">
        <f t="shared" si="15"/>
        <v>0</v>
      </c>
      <c r="H67" s="456">
        <f t="shared" si="16"/>
        <v>0</v>
      </c>
      <c r="I67" s="476">
        <f t="shared" si="18"/>
        <v>0</v>
      </c>
      <c r="J67" s="476"/>
      <c r="K67" s="488"/>
      <c r="L67" s="479">
        <f t="shared" si="19"/>
        <v>0</v>
      </c>
      <c r="M67" s="488"/>
      <c r="N67" s="479">
        <f t="shared" si="20"/>
        <v>0</v>
      </c>
      <c r="O67" s="479">
        <f t="shared" si="21"/>
        <v>0</v>
      </c>
      <c r="P67" s="243"/>
    </row>
    <row r="68" spans="2:16" ht="12.5">
      <c r="B68" s="160" t="str">
        <f t="shared" si="6"/>
        <v/>
      </c>
      <c r="C68" s="473">
        <f>IF(D11="","-",+C67+1)</f>
        <v>2061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7"/>
        <v>0</v>
      </c>
      <c r="G68" s="487">
        <f t="shared" si="15"/>
        <v>0</v>
      </c>
      <c r="H68" s="456">
        <f t="shared" si="16"/>
        <v>0</v>
      </c>
      <c r="I68" s="476">
        <f t="shared" si="18"/>
        <v>0</v>
      </c>
      <c r="J68" s="476"/>
      <c r="K68" s="488"/>
      <c r="L68" s="479">
        <f t="shared" si="19"/>
        <v>0</v>
      </c>
      <c r="M68" s="488"/>
      <c r="N68" s="479">
        <f t="shared" si="20"/>
        <v>0</v>
      </c>
      <c r="O68" s="479">
        <f t="shared" si="21"/>
        <v>0</v>
      </c>
      <c r="P68" s="243"/>
    </row>
    <row r="69" spans="2:16" ht="12.5">
      <c r="B69" s="160" t="str">
        <f t="shared" si="6"/>
        <v/>
      </c>
      <c r="C69" s="473">
        <f>IF(D11="","-",+C68+1)</f>
        <v>2062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7"/>
        <v>0</v>
      </c>
      <c r="G69" s="487">
        <f t="shared" si="15"/>
        <v>0</v>
      </c>
      <c r="H69" s="456">
        <f t="shared" si="16"/>
        <v>0</v>
      </c>
      <c r="I69" s="476">
        <f t="shared" si="18"/>
        <v>0</v>
      </c>
      <c r="J69" s="476"/>
      <c r="K69" s="488"/>
      <c r="L69" s="479">
        <f t="shared" si="19"/>
        <v>0</v>
      </c>
      <c r="M69" s="488"/>
      <c r="N69" s="479">
        <f t="shared" si="20"/>
        <v>0</v>
      </c>
      <c r="O69" s="479">
        <f t="shared" si="21"/>
        <v>0</v>
      </c>
      <c r="P69" s="243"/>
    </row>
    <row r="70" spans="2:16" ht="12.5">
      <c r="B70" s="160" t="str">
        <f t="shared" si="6"/>
        <v/>
      </c>
      <c r="C70" s="473">
        <f>IF(D11="","-",+C69+1)</f>
        <v>2063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7"/>
        <v>0</v>
      </c>
      <c r="G70" s="487">
        <f t="shared" si="15"/>
        <v>0</v>
      </c>
      <c r="H70" s="456">
        <f t="shared" si="16"/>
        <v>0</v>
      </c>
      <c r="I70" s="476">
        <f t="shared" si="18"/>
        <v>0</v>
      </c>
      <c r="J70" s="476"/>
      <c r="K70" s="488"/>
      <c r="L70" s="479">
        <f t="shared" si="19"/>
        <v>0</v>
      </c>
      <c r="M70" s="488"/>
      <c r="N70" s="479">
        <f t="shared" si="20"/>
        <v>0</v>
      </c>
      <c r="O70" s="479">
        <f t="shared" si="21"/>
        <v>0</v>
      </c>
      <c r="P70" s="243"/>
    </row>
    <row r="71" spans="2:16" ht="12.5">
      <c r="B71" s="160" t="str">
        <f t="shared" si="6"/>
        <v/>
      </c>
      <c r="C71" s="473">
        <f>IF(D11="","-",+C70+1)</f>
        <v>2064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7"/>
        <v>0</v>
      </c>
      <c r="G71" s="487">
        <f t="shared" si="15"/>
        <v>0</v>
      </c>
      <c r="H71" s="456">
        <f t="shared" si="16"/>
        <v>0</v>
      </c>
      <c r="I71" s="476">
        <f t="shared" si="18"/>
        <v>0</v>
      </c>
      <c r="J71" s="476"/>
      <c r="K71" s="488"/>
      <c r="L71" s="479">
        <f t="shared" si="19"/>
        <v>0</v>
      </c>
      <c r="M71" s="488"/>
      <c r="N71" s="479">
        <f t="shared" si="20"/>
        <v>0</v>
      </c>
      <c r="O71" s="479">
        <f t="shared" si="21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2065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7"/>
        <v>0</v>
      </c>
      <c r="G72" s="491">
        <f t="shared" si="15"/>
        <v>0</v>
      </c>
      <c r="H72" s="491">
        <f t="shared" si="16"/>
        <v>0</v>
      </c>
      <c r="I72" s="494">
        <f t="shared" si="18"/>
        <v>0</v>
      </c>
      <c r="J72" s="476"/>
      <c r="K72" s="495"/>
      <c r="L72" s="496">
        <f t="shared" si="19"/>
        <v>0</v>
      </c>
      <c r="M72" s="495"/>
      <c r="N72" s="496">
        <f t="shared" si="20"/>
        <v>0</v>
      </c>
      <c r="O72" s="496">
        <f t="shared" si="21"/>
        <v>0</v>
      </c>
      <c r="P72" s="243"/>
    </row>
    <row r="73" spans="2:16" ht="12.5">
      <c r="C73" s="347" t="s">
        <v>77</v>
      </c>
      <c r="D73" s="348"/>
      <c r="E73" s="348">
        <f>SUM(E17:E72)</f>
        <v>96566.000000000044</v>
      </c>
      <c r="F73" s="348"/>
      <c r="G73" s="348">
        <f>SUM(G17:G72)</f>
        <v>377204.87937120179</v>
      </c>
      <c r="H73" s="348">
        <f>SUM(H17:H72)</f>
        <v>377204.87937120179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10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10576.425832738674</v>
      </c>
      <c r="N87" s="509">
        <f>IF(J92&lt;D11,0,VLOOKUP(J92,C17:O72,11))</f>
        <v>10576.425832738674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11056.151171153304</v>
      </c>
      <c r="N88" s="513">
        <f>IF(J92&lt;D11,0,VLOOKUP(J92,C99:P154,7))</f>
        <v>11056.151171153304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Wavetrap Clinton City-Foss Tap 69kV Ckt 1*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479.72533841462973</v>
      </c>
      <c r="N89" s="518">
        <f>+N88-N87</f>
        <v>479.72533841462973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TP2009011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96566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2010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2246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2010</v>
      </c>
      <c r="D99" s="474">
        <v>0</v>
      </c>
      <c r="E99" s="481">
        <v>946.5</v>
      </c>
      <c r="F99" s="480">
        <v>95619.5</v>
      </c>
      <c r="G99" s="538">
        <v>47809.75</v>
      </c>
      <c r="H99" s="539">
        <v>8635.0355480484341</v>
      </c>
      <c r="I99" s="540">
        <v>8635.0355480484341</v>
      </c>
      <c r="J99" s="479">
        <f t="shared" ref="J99:J130" si="22">+I99-H99</f>
        <v>0</v>
      </c>
      <c r="K99" s="479"/>
      <c r="L99" s="568">
        <f t="shared" ref="L99:L104" si="23">H99</f>
        <v>8635.0355480484341</v>
      </c>
      <c r="M99" s="569">
        <f t="shared" ref="M99:M130" si="24">IF(L99&lt;&gt;0,+H99-L99,0)</f>
        <v>0</v>
      </c>
      <c r="N99" s="568">
        <f t="shared" ref="N99:N104" si="25">I99</f>
        <v>8635.0355480484341</v>
      </c>
      <c r="O99" s="478">
        <f t="shared" ref="O99:O130" si="26">IF(N99&lt;&gt;0,+I99-N99,0)</f>
        <v>0</v>
      </c>
      <c r="P99" s="478">
        <f t="shared" ref="P99:P130" si="27">+O99-M99</f>
        <v>0</v>
      </c>
    </row>
    <row r="100" spans="1:16" ht="12.5">
      <c r="B100" s="160" t="str">
        <f>IF(D100=F99,"","IU")</f>
        <v/>
      </c>
      <c r="C100" s="473">
        <f>IF(D93="","-",+C99+1)</f>
        <v>2011</v>
      </c>
      <c r="D100" s="474">
        <v>95619.5</v>
      </c>
      <c r="E100" s="481">
        <v>1857</v>
      </c>
      <c r="F100" s="480">
        <v>93762.5</v>
      </c>
      <c r="G100" s="480">
        <v>94691</v>
      </c>
      <c r="H100" s="481">
        <v>15096.07425133265</v>
      </c>
      <c r="I100" s="482">
        <v>15096.07425133265</v>
      </c>
      <c r="J100" s="479">
        <f t="shared" si="22"/>
        <v>0</v>
      </c>
      <c r="K100" s="479"/>
      <c r="L100" s="541">
        <f t="shared" si="23"/>
        <v>15096.07425133265</v>
      </c>
      <c r="M100" s="542">
        <f t="shared" si="24"/>
        <v>0</v>
      </c>
      <c r="N100" s="541">
        <f t="shared" si="25"/>
        <v>15096.07425133265</v>
      </c>
      <c r="O100" s="479">
        <f t="shared" si="26"/>
        <v>0</v>
      </c>
      <c r="P100" s="479">
        <f t="shared" si="27"/>
        <v>0</v>
      </c>
    </row>
    <row r="101" spans="1:16" ht="12.5">
      <c r="B101" s="160" t="str">
        <f t="shared" ref="B101:B154" si="28">IF(D101=F100,"","IU")</f>
        <v/>
      </c>
      <c r="C101" s="473">
        <f>IF(D93="","-",+C100+1)</f>
        <v>2012</v>
      </c>
      <c r="D101" s="474">
        <v>93762.5</v>
      </c>
      <c r="E101" s="481">
        <v>1857</v>
      </c>
      <c r="F101" s="480">
        <v>91905.5</v>
      </c>
      <c r="G101" s="480">
        <v>92834</v>
      </c>
      <c r="H101" s="481">
        <v>15211.679797187964</v>
      </c>
      <c r="I101" s="482">
        <v>15211.679797187964</v>
      </c>
      <c r="J101" s="479">
        <v>0</v>
      </c>
      <c r="K101" s="479"/>
      <c r="L101" s="541">
        <f t="shared" si="23"/>
        <v>15211.679797187964</v>
      </c>
      <c r="M101" s="542">
        <f t="shared" ref="M101:M106" si="29">IF(L101&lt;&gt;0,+H101-L101,0)</f>
        <v>0</v>
      </c>
      <c r="N101" s="541">
        <f t="shared" si="25"/>
        <v>15211.679797187964</v>
      </c>
      <c r="O101" s="479">
        <f t="shared" ref="O101:O106" si="30">IF(N101&lt;&gt;0,+I101-N101,0)</f>
        <v>0</v>
      </c>
      <c r="P101" s="479">
        <f t="shared" ref="P101:P106" si="31">+O101-M101</f>
        <v>0</v>
      </c>
    </row>
    <row r="102" spans="1:16" ht="12.5">
      <c r="B102" s="160" t="str">
        <f t="shared" si="28"/>
        <v/>
      </c>
      <c r="C102" s="473">
        <f>IF(D93="","-",+C101+1)</f>
        <v>2013</v>
      </c>
      <c r="D102" s="474">
        <v>91905.5</v>
      </c>
      <c r="E102" s="481">
        <v>1857</v>
      </c>
      <c r="F102" s="480">
        <v>90048.5</v>
      </c>
      <c r="G102" s="480">
        <v>90977</v>
      </c>
      <c r="H102" s="481">
        <v>14952.192437840908</v>
      </c>
      <c r="I102" s="482">
        <v>14952.192437840908</v>
      </c>
      <c r="J102" s="479">
        <v>0</v>
      </c>
      <c r="K102" s="479"/>
      <c r="L102" s="541">
        <f t="shared" si="23"/>
        <v>14952.192437840908</v>
      </c>
      <c r="M102" s="542">
        <f t="shared" si="29"/>
        <v>0</v>
      </c>
      <c r="N102" s="541">
        <f t="shared" si="25"/>
        <v>14952.192437840908</v>
      </c>
      <c r="O102" s="479">
        <f t="shared" si="30"/>
        <v>0</v>
      </c>
      <c r="P102" s="479">
        <f t="shared" si="31"/>
        <v>0</v>
      </c>
    </row>
    <row r="103" spans="1:16" ht="12.5">
      <c r="B103" s="160" t="str">
        <f t="shared" si="28"/>
        <v/>
      </c>
      <c r="C103" s="473">
        <f>IF(D93="","-",+C102+1)</f>
        <v>2014</v>
      </c>
      <c r="D103" s="474">
        <v>90048.5</v>
      </c>
      <c r="E103" s="481">
        <v>1857</v>
      </c>
      <c r="F103" s="480">
        <v>88191.5</v>
      </c>
      <c r="G103" s="480">
        <v>89120</v>
      </c>
      <c r="H103" s="481">
        <v>14386.907699066522</v>
      </c>
      <c r="I103" s="482">
        <v>14386.907699066522</v>
      </c>
      <c r="J103" s="479">
        <v>0</v>
      </c>
      <c r="K103" s="479"/>
      <c r="L103" s="541">
        <f t="shared" si="23"/>
        <v>14386.907699066522</v>
      </c>
      <c r="M103" s="542">
        <f t="shared" si="29"/>
        <v>0</v>
      </c>
      <c r="N103" s="541">
        <f t="shared" si="25"/>
        <v>14386.907699066522</v>
      </c>
      <c r="O103" s="479">
        <f t="shared" si="30"/>
        <v>0</v>
      </c>
      <c r="P103" s="479">
        <f t="shared" si="31"/>
        <v>0</v>
      </c>
    </row>
    <row r="104" spans="1:16" ht="12.5">
      <c r="B104" s="160" t="str">
        <f t="shared" si="28"/>
        <v/>
      </c>
      <c r="C104" s="473">
        <f>IF(D93="","-",+C103+1)</f>
        <v>2015</v>
      </c>
      <c r="D104" s="474">
        <v>88191.5</v>
      </c>
      <c r="E104" s="481">
        <v>1857</v>
      </c>
      <c r="F104" s="480">
        <v>86334.5</v>
      </c>
      <c r="G104" s="480">
        <v>87263</v>
      </c>
      <c r="H104" s="481">
        <v>13763.334720904193</v>
      </c>
      <c r="I104" s="482">
        <v>13763.334720904193</v>
      </c>
      <c r="J104" s="479">
        <f t="shared" si="22"/>
        <v>0</v>
      </c>
      <c r="K104" s="479"/>
      <c r="L104" s="541">
        <f t="shared" si="23"/>
        <v>13763.334720904193</v>
      </c>
      <c r="M104" s="542">
        <f t="shared" si="29"/>
        <v>0</v>
      </c>
      <c r="N104" s="541">
        <f t="shared" si="25"/>
        <v>13763.334720904193</v>
      </c>
      <c r="O104" s="479">
        <f t="shared" si="30"/>
        <v>0</v>
      </c>
      <c r="P104" s="479">
        <f t="shared" si="31"/>
        <v>0</v>
      </c>
    </row>
    <row r="105" spans="1:16" ht="12.5">
      <c r="B105" s="160" t="str">
        <f t="shared" si="28"/>
        <v/>
      </c>
      <c r="C105" s="473">
        <f>IF(D93="","-",+C104+1)</f>
        <v>2016</v>
      </c>
      <c r="D105" s="474">
        <v>86334.5</v>
      </c>
      <c r="E105" s="481">
        <v>2099</v>
      </c>
      <c r="F105" s="480">
        <v>84235.5</v>
      </c>
      <c r="G105" s="480">
        <v>85285</v>
      </c>
      <c r="H105" s="481">
        <v>13093.579642748955</v>
      </c>
      <c r="I105" s="482">
        <v>13093.579642748955</v>
      </c>
      <c r="J105" s="479">
        <f t="shared" si="22"/>
        <v>0</v>
      </c>
      <c r="K105" s="479"/>
      <c r="L105" s="541">
        <f>H105</f>
        <v>13093.579642748955</v>
      </c>
      <c r="M105" s="542">
        <f t="shared" si="29"/>
        <v>0</v>
      </c>
      <c r="N105" s="541">
        <f>I105</f>
        <v>13093.579642748955</v>
      </c>
      <c r="O105" s="479">
        <f t="shared" si="30"/>
        <v>0</v>
      </c>
      <c r="P105" s="479">
        <f t="shared" si="31"/>
        <v>0</v>
      </c>
    </row>
    <row r="106" spans="1:16" ht="12.5">
      <c r="B106" s="160" t="str">
        <f t="shared" si="28"/>
        <v/>
      </c>
      <c r="C106" s="473">
        <f>IF(D93="","-",+C105+1)</f>
        <v>2017</v>
      </c>
      <c r="D106" s="474">
        <v>84235.5</v>
      </c>
      <c r="E106" s="481">
        <v>2099</v>
      </c>
      <c r="F106" s="480">
        <v>82136.5</v>
      </c>
      <c r="G106" s="480">
        <v>83186</v>
      </c>
      <c r="H106" s="481">
        <v>12651.353853573521</v>
      </c>
      <c r="I106" s="482">
        <v>12651.353853573521</v>
      </c>
      <c r="J106" s="479">
        <f t="shared" si="22"/>
        <v>0</v>
      </c>
      <c r="K106" s="479"/>
      <c r="L106" s="541">
        <f>H106</f>
        <v>12651.353853573521</v>
      </c>
      <c r="M106" s="542">
        <f t="shared" si="29"/>
        <v>0</v>
      </c>
      <c r="N106" s="541">
        <f>I106</f>
        <v>12651.353853573521</v>
      </c>
      <c r="O106" s="479">
        <f t="shared" si="30"/>
        <v>0</v>
      </c>
      <c r="P106" s="479">
        <f t="shared" si="31"/>
        <v>0</v>
      </c>
    </row>
    <row r="107" spans="1:16" ht="12.5">
      <c r="B107" s="160" t="str">
        <f t="shared" si="28"/>
        <v/>
      </c>
      <c r="C107" s="473">
        <f>IF(D93="","-",+C106+1)</f>
        <v>2018</v>
      </c>
      <c r="D107" s="474">
        <v>82136.5</v>
      </c>
      <c r="E107" s="481">
        <v>2246</v>
      </c>
      <c r="F107" s="480">
        <v>79890.5</v>
      </c>
      <c r="G107" s="480">
        <v>81013.5</v>
      </c>
      <c r="H107" s="481">
        <v>10568.967843132519</v>
      </c>
      <c r="I107" s="482">
        <v>10568.967843132519</v>
      </c>
      <c r="J107" s="479">
        <f t="shared" si="22"/>
        <v>0</v>
      </c>
      <c r="K107" s="479"/>
      <c r="L107" s="541">
        <f>H107</f>
        <v>10568.967843132519</v>
      </c>
      <c r="M107" s="542">
        <f t="shared" ref="M107" si="32">IF(L107&lt;&gt;0,+H107-L107,0)</f>
        <v>0</v>
      </c>
      <c r="N107" s="541">
        <f>I107</f>
        <v>10568.967843132519</v>
      </c>
      <c r="O107" s="479">
        <f t="shared" ref="O107" si="33">IF(N107&lt;&gt;0,+I107-N107,0)</f>
        <v>0</v>
      </c>
      <c r="P107" s="479">
        <f t="shared" ref="P107" si="34">+O107-M107</f>
        <v>0</v>
      </c>
    </row>
    <row r="108" spans="1:16" ht="12.5">
      <c r="B108" s="160" t="str">
        <f t="shared" si="28"/>
        <v/>
      </c>
      <c r="C108" s="473">
        <f>IF(D93="","-",+C107+1)</f>
        <v>2019</v>
      </c>
      <c r="D108" s="474">
        <v>79890.5</v>
      </c>
      <c r="E108" s="481">
        <v>2355</v>
      </c>
      <c r="F108" s="480">
        <v>77535.5</v>
      </c>
      <c r="G108" s="480">
        <v>78713</v>
      </c>
      <c r="H108" s="481">
        <v>10471.414334884656</v>
      </c>
      <c r="I108" s="482">
        <v>10471.414334884656</v>
      </c>
      <c r="J108" s="479">
        <f t="shared" si="22"/>
        <v>0</v>
      </c>
      <c r="K108" s="479"/>
      <c r="L108" s="541">
        <f>H108</f>
        <v>10471.414334884656</v>
      </c>
      <c r="M108" s="542">
        <f t="shared" ref="M108" si="35">IF(L108&lt;&gt;0,+H108-L108,0)</f>
        <v>0</v>
      </c>
      <c r="N108" s="541">
        <f>I108</f>
        <v>10471.414334884656</v>
      </c>
      <c r="O108" s="479">
        <f t="shared" si="26"/>
        <v>0</v>
      </c>
      <c r="P108" s="479">
        <f t="shared" si="27"/>
        <v>0</v>
      </c>
    </row>
    <row r="109" spans="1:16" ht="12.5">
      <c r="B109" s="160" t="str">
        <f t="shared" si="28"/>
        <v/>
      </c>
      <c r="C109" s="473">
        <f>IF(D93="","-",+C108+1)</f>
        <v>2020</v>
      </c>
      <c r="D109" s="347">
        <f>IF(F108+SUM(E$99:E108)=D$92,F108,D$92-SUM(E$99:E108))</f>
        <v>77535.5</v>
      </c>
      <c r="E109" s="487">
        <f>IF(+J96&lt;F108,J96,D109)</f>
        <v>2246</v>
      </c>
      <c r="F109" s="486">
        <f t="shared" ref="F109:F129" si="36">+D109-E109</f>
        <v>75289.5</v>
      </c>
      <c r="G109" s="486">
        <f t="shared" ref="G109:G129" si="37">+(F109+D109)/2</f>
        <v>76412.5</v>
      </c>
      <c r="H109" s="487">
        <f>(D109+F109)/2*J$94+E109</f>
        <v>11056.151171153304</v>
      </c>
      <c r="I109" s="543">
        <f t="shared" ref="I109" si="38">+J$95*G109+E109</f>
        <v>11056.151171153304</v>
      </c>
      <c r="J109" s="479">
        <f t="shared" si="22"/>
        <v>0</v>
      </c>
      <c r="K109" s="479"/>
      <c r="L109" s="488"/>
      <c r="M109" s="479">
        <f t="shared" si="24"/>
        <v>0</v>
      </c>
      <c r="N109" s="488"/>
      <c r="O109" s="479">
        <f t="shared" si="26"/>
        <v>0</v>
      </c>
      <c r="P109" s="479">
        <f t="shared" si="27"/>
        <v>0</v>
      </c>
    </row>
    <row r="110" spans="1:16" ht="12.5">
      <c r="B110" s="160" t="str">
        <f t="shared" si="28"/>
        <v/>
      </c>
      <c r="C110" s="473">
        <f>IF(D93="","-",+C109+1)</f>
        <v>2021</v>
      </c>
      <c r="D110" s="347">
        <f>IF(F109+SUM(E$99:E109)=D$92,F109,D$92-SUM(E$99:E109))</f>
        <v>75289.5</v>
      </c>
      <c r="E110" s="487">
        <f>IF(+J96&lt;F109,J96,D110)</f>
        <v>2246</v>
      </c>
      <c r="F110" s="486">
        <f t="shared" si="36"/>
        <v>73043.5</v>
      </c>
      <c r="G110" s="486">
        <f t="shared" si="37"/>
        <v>74166.5</v>
      </c>
      <c r="H110" s="487">
        <f t="shared" ref="H110:H153" si="39">(D110+F110)/2*J$94+E110</f>
        <v>10797.193546021155</v>
      </c>
      <c r="I110" s="543">
        <f t="shared" ref="I110:I153" si="40">+J$95*G110+E110</f>
        <v>10797.193546021155</v>
      </c>
      <c r="J110" s="479">
        <f t="shared" si="22"/>
        <v>0</v>
      </c>
      <c r="K110" s="479"/>
      <c r="L110" s="488"/>
      <c r="M110" s="479">
        <f t="shared" si="24"/>
        <v>0</v>
      </c>
      <c r="N110" s="488"/>
      <c r="O110" s="479">
        <f t="shared" si="26"/>
        <v>0</v>
      </c>
      <c r="P110" s="479">
        <f t="shared" si="27"/>
        <v>0</v>
      </c>
    </row>
    <row r="111" spans="1:16" ht="12.5">
      <c r="B111" s="160" t="str">
        <f t="shared" si="28"/>
        <v/>
      </c>
      <c r="C111" s="473">
        <f>IF(D93="","-",+C110+1)</f>
        <v>2022</v>
      </c>
      <c r="D111" s="347">
        <f>IF(F110+SUM(E$99:E110)=D$92,F110,D$92-SUM(E$99:E110))</f>
        <v>73043.5</v>
      </c>
      <c r="E111" s="487">
        <f>IF(+J96&lt;F110,J96,D111)</f>
        <v>2246</v>
      </c>
      <c r="F111" s="486">
        <f t="shared" si="36"/>
        <v>70797.5</v>
      </c>
      <c r="G111" s="486">
        <f t="shared" si="37"/>
        <v>71920.5</v>
      </c>
      <c r="H111" s="487">
        <f t="shared" si="39"/>
        <v>10538.235920889007</v>
      </c>
      <c r="I111" s="543">
        <f t="shared" si="40"/>
        <v>10538.235920889007</v>
      </c>
      <c r="J111" s="479">
        <f t="shared" si="22"/>
        <v>0</v>
      </c>
      <c r="K111" s="479"/>
      <c r="L111" s="488"/>
      <c r="M111" s="479">
        <f t="shared" si="24"/>
        <v>0</v>
      </c>
      <c r="N111" s="488"/>
      <c r="O111" s="479">
        <f t="shared" si="26"/>
        <v>0</v>
      </c>
      <c r="P111" s="479">
        <f t="shared" si="27"/>
        <v>0</v>
      </c>
    </row>
    <row r="112" spans="1:16" ht="12.5">
      <c r="B112" s="160" t="str">
        <f t="shared" si="28"/>
        <v/>
      </c>
      <c r="C112" s="473">
        <f>IF(D93="","-",+C111+1)</f>
        <v>2023</v>
      </c>
      <c r="D112" s="347">
        <f>IF(F111+SUM(E$99:E111)=D$92,F111,D$92-SUM(E$99:E111))</f>
        <v>70797.5</v>
      </c>
      <c r="E112" s="487">
        <f>IF(+J96&lt;F111,J96,D112)</f>
        <v>2246</v>
      </c>
      <c r="F112" s="486">
        <f t="shared" si="36"/>
        <v>68551.5</v>
      </c>
      <c r="G112" s="486">
        <f t="shared" si="37"/>
        <v>69674.5</v>
      </c>
      <c r="H112" s="487">
        <f t="shared" si="39"/>
        <v>10279.278295756856</v>
      </c>
      <c r="I112" s="543">
        <f t="shared" si="40"/>
        <v>10279.278295756856</v>
      </c>
      <c r="J112" s="479">
        <f t="shared" si="22"/>
        <v>0</v>
      </c>
      <c r="K112" s="479"/>
      <c r="L112" s="488"/>
      <c r="M112" s="479">
        <f t="shared" si="24"/>
        <v>0</v>
      </c>
      <c r="N112" s="488"/>
      <c r="O112" s="479">
        <f t="shared" si="26"/>
        <v>0</v>
      </c>
      <c r="P112" s="479">
        <f t="shared" si="27"/>
        <v>0</v>
      </c>
    </row>
    <row r="113" spans="2:16" ht="12.5">
      <c r="B113" s="160" t="str">
        <f t="shared" si="28"/>
        <v/>
      </c>
      <c r="C113" s="473">
        <f>IF(D93="","-",+C112+1)</f>
        <v>2024</v>
      </c>
      <c r="D113" s="347">
        <f>IF(F112+SUM(E$99:E112)=D$92,F112,D$92-SUM(E$99:E112))</f>
        <v>68551.5</v>
      </c>
      <c r="E113" s="487">
        <f>IF(+J96&lt;F112,J96,D113)</f>
        <v>2246</v>
      </c>
      <c r="F113" s="486">
        <f t="shared" si="36"/>
        <v>66305.5</v>
      </c>
      <c r="G113" s="486">
        <f t="shared" si="37"/>
        <v>67428.5</v>
      </c>
      <c r="H113" s="487">
        <f t="shared" si="39"/>
        <v>10020.320670624707</v>
      </c>
      <c r="I113" s="543">
        <f t="shared" si="40"/>
        <v>10020.320670624707</v>
      </c>
      <c r="J113" s="479">
        <f t="shared" si="22"/>
        <v>0</v>
      </c>
      <c r="K113" s="479"/>
      <c r="L113" s="488"/>
      <c r="M113" s="479">
        <f t="shared" si="24"/>
        <v>0</v>
      </c>
      <c r="N113" s="488"/>
      <c r="O113" s="479">
        <f t="shared" si="26"/>
        <v>0</v>
      </c>
      <c r="P113" s="479">
        <f t="shared" si="27"/>
        <v>0</v>
      </c>
    </row>
    <row r="114" spans="2:16" ht="12.5">
      <c r="B114" s="160" t="str">
        <f t="shared" si="28"/>
        <v/>
      </c>
      <c r="C114" s="473">
        <f>IF(D93="","-",+C113+1)</f>
        <v>2025</v>
      </c>
      <c r="D114" s="347">
        <f>IF(F113+SUM(E$99:E113)=D$92,F113,D$92-SUM(E$99:E113))</f>
        <v>66305.5</v>
      </c>
      <c r="E114" s="487">
        <f>IF(+J96&lt;F113,J96,D114)</f>
        <v>2246</v>
      </c>
      <c r="F114" s="486">
        <f t="shared" si="36"/>
        <v>64059.5</v>
      </c>
      <c r="G114" s="486">
        <f t="shared" si="37"/>
        <v>65182.5</v>
      </c>
      <c r="H114" s="487">
        <f t="shared" si="39"/>
        <v>9761.3630454925587</v>
      </c>
      <c r="I114" s="543">
        <f t="shared" si="40"/>
        <v>9761.3630454925587</v>
      </c>
      <c r="J114" s="479">
        <f t="shared" si="22"/>
        <v>0</v>
      </c>
      <c r="K114" s="479"/>
      <c r="L114" s="488"/>
      <c r="M114" s="479">
        <f t="shared" si="24"/>
        <v>0</v>
      </c>
      <c r="N114" s="488"/>
      <c r="O114" s="479">
        <f t="shared" si="26"/>
        <v>0</v>
      </c>
      <c r="P114" s="479">
        <f t="shared" si="27"/>
        <v>0</v>
      </c>
    </row>
    <row r="115" spans="2:16" ht="12.5">
      <c r="B115" s="160" t="str">
        <f t="shared" si="28"/>
        <v/>
      </c>
      <c r="C115" s="473">
        <f>IF(D93="","-",+C114+1)</f>
        <v>2026</v>
      </c>
      <c r="D115" s="347">
        <f>IF(F114+SUM(E$99:E114)=D$92,F114,D$92-SUM(E$99:E114))</f>
        <v>64059.5</v>
      </c>
      <c r="E115" s="487">
        <f>IF(+J96&lt;F114,J96,D115)</f>
        <v>2246</v>
      </c>
      <c r="F115" s="486">
        <f t="shared" si="36"/>
        <v>61813.5</v>
      </c>
      <c r="G115" s="486">
        <f t="shared" si="37"/>
        <v>62936.5</v>
      </c>
      <c r="H115" s="487">
        <f t="shared" si="39"/>
        <v>9502.4054203604101</v>
      </c>
      <c r="I115" s="543">
        <f t="shared" si="40"/>
        <v>9502.4054203604101</v>
      </c>
      <c r="J115" s="479">
        <f t="shared" si="22"/>
        <v>0</v>
      </c>
      <c r="K115" s="479"/>
      <c r="L115" s="488"/>
      <c r="M115" s="479">
        <f t="shared" si="24"/>
        <v>0</v>
      </c>
      <c r="N115" s="488"/>
      <c r="O115" s="479">
        <f t="shared" si="26"/>
        <v>0</v>
      </c>
      <c r="P115" s="479">
        <f t="shared" si="27"/>
        <v>0</v>
      </c>
    </row>
    <row r="116" spans="2:16" ht="12.5">
      <c r="B116" s="160" t="str">
        <f t="shared" si="28"/>
        <v/>
      </c>
      <c r="C116" s="473">
        <f>IF(D93="","-",+C115+1)</f>
        <v>2027</v>
      </c>
      <c r="D116" s="347">
        <f>IF(F115+SUM(E$99:E115)=D$92,F115,D$92-SUM(E$99:E115))</f>
        <v>61813.5</v>
      </c>
      <c r="E116" s="487">
        <f>IF(+J96&lt;F115,J96,D116)</f>
        <v>2246</v>
      </c>
      <c r="F116" s="486">
        <f t="shared" si="36"/>
        <v>59567.5</v>
      </c>
      <c r="G116" s="486">
        <f t="shared" si="37"/>
        <v>60690.5</v>
      </c>
      <c r="H116" s="487">
        <f t="shared" si="39"/>
        <v>9243.4477952282614</v>
      </c>
      <c r="I116" s="543">
        <f t="shared" si="40"/>
        <v>9243.4477952282614</v>
      </c>
      <c r="J116" s="479">
        <f t="shared" si="22"/>
        <v>0</v>
      </c>
      <c r="K116" s="479"/>
      <c r="L116" s="488"/>
      <c r="M116" s="479">
        <f t="shared" si="24"/>
        <v>0</v>
      </c>
      <c r="N116" s="488"/>
      <c r="O116" s="479">
        <f t="shared" si="26"/>
        <v>0</v>
      </c>
      <c r="P116" s="479">
        <f t="shared" si="27"/>
        <v>0</v>
      </c>
    </row>
    <row r="117" spans="2:16" ht="12.5">
      <c r="B117" s="160" t="str">
        <f t="shared" si="28"/>
        <v/>
      </c>
      <c r="C117" s="473">
        <f>IF(D93="","-",+C116+1)</f>
        <v>2028</v>
      </c>
      <c r="D117" s="347">
        <f>IF(F116+SUM(E$99:E116)=D$92,F116,D$92-SUM(E$99:E116))</f>
        <v>59567.5</v>
      </c>
      <c r="E117" s="487">
        <f>IF(+J96&lt;F116,J96,D117)</f>
        <v>2246</v>
      </c>
      <c r="F117" s="486">
        <f t="shared" si="36"/>
        <v>57321.5</v>
      </c>
      <c r="G117" s="486">
        <f t="shared" si="37"/>
        <v>58444.5</v>
      </c>
      <c r="H117" s="487">
        <f t="shared" si="39"/>
        <v>8984.4901700961127</v>
      </c>
      <c r="I117" s="543">
        <f t="shared" si="40"/>
        <v>8984.4901700961127</v>
      </c>
      <c r="J117" s="479">
        <f t="shared" si="22"/>
        <v>0</v>
      </c>
      <c r="K117" s="479"/>
      <c r="L117" s="488"/>
      <c r="M117" s="479">
        <f t="shared" si="24"/>
        <v>0</v>
      </c>
      <c r="N117" s="488"/>
      <c r="O117" s="479">
        <f t="shared" si="26"/>
        <v>0</v>
      </c>
      <c r="P117" s="479">
        <f t="shared" si="27"/>
        <v>0</v>
      </c>
    </row>
    <row r="118" spans="2:16" ht="12.5">
      <c r="B118" s="160" t="str">
        <f t="shared" si="28"/>
        <v/>
      </c>
      <c r="C118" s="473">
        <f>IF(D93="","-",+C117+1)</f>
        <v>2029</v>
      </c>
      <c r="D118" s="347">
        <f>IF(F117+SUM(E$99:E117)=D$92,F117,D$92-SUM(E$99:E117))</f>
        <v>57321.5</v>
      </c>
      <c r="E118" s="487">
        <f>IF(+J96&lt;F117,J96,D118)</f>
        <v>2246</v>
      </c>
      <c r="F118" s="486">
        <f t="shared" si="36"/>
        <v>55075.5</v>
      </c>
      <c r="G118" s="486">
        <f t="shared" si="37"/>
        <v>56198.5</v>
      </c>
      <c r="H118" s="487">
        <f t="shared" si="39"/>
        <v>8725.532544963964</v>
      </c>
      <c r="I118" s="543">
        <f t="shared" si="40"/>
        <v>8725.532544963964</v>
      </c>
      <c r="J118" s="479">
        <f t="shared" si="22"/>
        <v>0</v>
      </c>
      <c r="K118" s="479"/>
      <c r="L118" s="488"/>
      <c r="M118" s="479">
        <f t="shared" si="24"/>
        <v>0</v>
      </c>
      <c r="N118" s="488"/>
      <c r="O118" s="479">
        <f t="shared" si="26"/>
        <v>0</v>
      </c>
      <c r="P118" s="479">
        <f t="shared" si="27"/>
        <v>0</v>
      </c>
    </row>
    <row r="119" spans="2:16" ht="12.5">
      <c r="B119" s="160" t="str">
        <f t="shared" si="28"/>
        <v/>
      </c>
      <c r="C119" s="473">
        <f>IF(D93="","-",+C118+1)</f>
        <v>2030</v>
      </c>
      <c r="D119" s="347">
        <f>IF(F118+SUM(E$99:E118)=D$92,F118,D$92-SUM(E$99:E118))</f>
        <v>55075.5</v>
      </c>
      <c r="E119" s="487">
        <f>IF(+J96&lt;F118,J96,D119)</f>
        <v>2246</v>
      </c>
      <c r="F119" s="486">
        <f t="shared" si="36"/>
        <v>52829.5</v>
      </c>
      <c r="G119" s="486">
        <f t="shared" si="37"/>
        <v>53952.5</v>
      </c>
      <c r="H119" s="487">
        <f t="shared" si="39"/>
        <v>8466.5749198318154</v>
      </c>
      <c r="I119" s="543">
        <f t="shared" si="40"/>
        <v>8466.5749198318154</v>
      </c>
      <c r="J119" s="479">
        <f t="shared" si="22"/>
        <v>0</v>
      </c>
      <c r="K119" s="479"/>
      <c r="L119" s="488"/>
      <c r="M119" s="479">
        <f t="shared" si="24"/>
        <v>0</v>
      </c>
      <c r="N119" s="488"/>
      <c r="O119" s="479">
        <f t="shared" si="26"/>
        <v>0</v>
      </c>
      <c r="P119" s="479">
        <f t="shared" si="27"/>
        <v>0</v>
      </c>
    </row>
    <row r="120" spans="2:16" ht="12.5">
      <c r="B120" s="160" t="str">
        <f t="shared" si="28"/>
        <v/>
      </c>
      <c r="C120" s="473">
        <f>IF(D93="","-",+C119+1)</f>
        <v>2031</v>
      </c>
      <c r="D120" s="347">
        <f>IF(F119+SUM(E$99:E119)=D$92,F119,D$92-SUM(E$99:E119))</f>
        <v>52829.5</v>
      </c>
      <c r="E120" s="487">
        <f>IF(+J96&lt;F119,J96,D120)</f>
        <v>2246</v>
      </c>
      <c r="F120" s="486">
        <f t="shared" si="36"/>
        <v>50583.5</v>
      </c>
      <c r="G120" s="486">
        <f t="shared" si="37"/>
        <v>51706.5</v>
      </c>
      <c r="H120" s="487">
        <f t="shared" si="39"/>
        <v>8207.6172946996667</v>
      </c>
      <c r="I120" s="543">
        <f t="shared" si="40"/>
        <v>8207.6172946996667</v>
      </c>
      <c r="J120" s="479">
        <f t="shared" si="22"/>
        <v>0</v>
      </c>
      <c r="K120" s="479"/>
      <c r="L120" s="488"/>
      <c r="M120" s="479">
        <f t="shared" si="24"/>
        <v>0</v>
      </c>
      <c r="N120" s="488"/>
      <c r="O120" s="479">
        <f t="shared" si="26"/>
        <v>0</v>
      </c>
      <c r="P120" s="479">
        <f t="shared" si="27"/>
        <v>0</v>
      </c>
    </row>
    <row r="121" spans="2:16" ht="12.5">
      <c r="B121" s="160" t="str">
        <f t="shared" si="28"/>
        <v/>
      </c>
      <c r="C121" s="473">
        <f>IF(D93="","-",+C120+1)</f>
        <v>2032</v>
      </c>
      <c r="D121" s="347">
        <f>IF(F120+SUM(E$99:E120)=D$92,F120,D$92-SUM(E$99:E120))</f>
        <v>50583.5</v>
      </c>
      <c r="E121" s="487">
        <f>IF(+J96&lt;F120,J96,D121)</f>
        <v>2246</v>
      </c>
      <c r="F121" s="486">
        <f t="shared" si="36"/>
        <v>48337.5</v>
      </c>
      <c r="G121" s="486">
        <f t="shared" si="37"/>
        <v>49460.5</v>
      </c>
      <c r="H121" s="487">
        <f t="shared" si="39"/>
        <v>7948.659669567518</v>
      </c>
      <c r="I121" s="543">
        <f t="shared" si="40"/>
        <v>7948.659669567518</v>
      </c>
      <c r="J121" s="479">
        <f t="shared" si="22"/>
        <v>0</v>
      </c>
      <c r="K121" s="479"/>
      <c r="L121" s="488"/>
      <c r="M121" s="479">
        <f t="shared" si="24"/>
        <v>0</v>
      </c>
      <c r="N121" s="488"/>
      <c r="O121" s="479">
        <f t="shared" si="26"/>
        <v>0</v>
      </c>
      <c r="P121" s="479">
        <f t="shared" si="27"/>
        <v>0</v>
      </c>
    </row>
    <row r="122" spans="2:16" ht="12.5">
      <c r="B122" s="160" t="str">
        <f t="shared" si="28"/>
        <v/>
      </c>
      <c r="C122" s="473">
        <f>IF(D93="","-",+C121+1)</f>
        <v>2033</v>
      </c>
      <c r="D122" s="347">
        <f>IF(F121+SUM(E$99:E121)=D$92,F121,D$92-SUM(E$99:E121))</f>
        <v>48337.5</v>
      </c>
      <c r="E122" s="487">
        <f>IF(+J96&lt;F121,J96,D122)</f>
        <v>2246</v>
      </c>
      <c r="F122" s="486">
        <f t="shared" si="36"/>
        <v>46091.5</v>
      </c>
      <c r="G122" s="486">
        <f t="shared" si="37"/>
        <v>47214.5</v>
      </c>
      <c r="H122" s="487">
        <f t="shared" si="39"/>
        <v>7689.7020444353693</v>
      </c>
      <c r="I122" s="543">
        <f t="shared" si="40"/>
        <v>7689.7020444353693</v>
      </c>
      <c r="J122" s="479">
        <f t="shared" si="22"/>
        <v>0</v>
      </c>
      <c r="K122" s="479"/>
      <c r="L122" s="488"/>
      <c r="M122" s="479">
        <f t="shared" si="24"/>
        <v>0</v>
      </c>
      <c r="N122" s="488"/>
      <c r="O122" s="479">
        <f t="shared" si="26"/>
        <v>0</v>
      </c>
      <c r="P122" s="479">
        <f t="shared" si="27"/>
        <v>0</v>
      </c>
    </row>
    <row r="123" spans="2:16" ht="12.5">
      <c r="B123" s="160" t="str">
        <f t="shared" si="28"/>
        <v/>
      </c>
      <c r="C123" s="473">
        <f>IF(D93="","-",+C122+1)</f>
        <v>2034</v>
      </c>
      <c r="D123" s="347">
        <f>IF(F122+SUM(E$99:E122)=D$92,F122,D$92-SUM(E$99:E122))</f>
        <v>46091.5</v>
      </c>
      <c r="E123" s="487">
        <f>IF(+J96&lt;F122,J96,D123)</f>
        <v>2246</v>
      </c>
      <c r="F123" s="486">
        <f t="shared" si="36"/>
        <v>43845.5</v>
      </c>
      <c r="G123" s="486">
        <f t="shared" si="37"/>
        <v>44968.5</v>
      </c>
      <c r="H123" s="487">
        <f t="shared" si="39"/>
        <v>7430.7444193032206</v>
      </c>
      <c r="I123" s="543">
        <f t="shared" si="40"/>
        <v>7430.7444193032206</v>
      </c>
      <c r="J123" s="479">
        <f t="shared" si="22"/>
        <v>0</v>
      </c>
      <c r="K123" s="479"/>
      <c r="L123" s="488"/>
      <c r="M123" s="479">
        <f t="shared" si="24"/>
        <v>0</v>
      </c>
      <c r="N123" s="488"/>
      <c r="O123" s="479">
        <f t="shared" si="26"/>
        <v>0</v>
      </c>
      <c r="P123" s="479">
        <f t="shared" si="27"/>
        <v>0</v>
      </c>
    </row>
    <row r="124" spans="2:16" ht="12.5">
      <c r="B124" s="160" t="str">
        <f t="shared" si="28"/>
        <v/>
      </c>
      <c r="C124" s="473">
        <f>IF(D93="","-",+C123+1)</f>
        <v>2035</v>
      </c>
      <c r="D124" s="347">
        <f>IF(F123+SUM(E$99:E123)=D$92,F123,D$92-SUM(E$99:E123))</f>
        <v>43845.5</v>
      </c>
      <c r="E124" s="487">
        <f>IF(+J96&lt;F123,J96,D124)</f>
        <v>2246</v>
      </c>
      <c r="F124" s="486">
        <f t="shared" si="36"/>
        <v>41599.5</v>
      </c>
      <c r="G124" s="486">
        <f t="shared" si="37"/>
        <v>42722.5</v>
      </c>
      <c r="H124" s="487">
        <f t="shared" si="39"/>
        <v>7171.786794171072</v>
      </c>
      <c r="I124" s="543">
        <f t="shared" si="40"/>
        <v>7171.786794171072</v>
      </c>
      <c r="J124" s="479">
        <f t="shared" si="22"/>
        <v>0</v>
      </c>
      <c r="K124" s="479"/>
      <c r="L124" s="488"/>
      <c r="M124" s="479">
        <f t="shared" si="24"/>
        <v>0</v>
      </c>
      <c r="N124" s="488"/>
      <c r="O124" s="479">
        <f t="shared" si="26"/>
        <v>0</v>
      </c>
      <c r="P124" s="479">
        <f t="shared" si="27"/>
        <v>0</v>
      </c>
    </row>
    <row r="125" spans="2:16" ht="12.5">
      <c r="B125" s="160" t="str">
        <f t="shared" si="28"/>
        <v/>
      </c>
      <c r="C125" s="473">
        <f>IF(D93="","-",+C124+1)</f>
        <v>2036</v>
      </c>
      <c r="D125" s="347">
        <f>IF(F124+SUM(E$99:E124)=D$92,F124,D$92-SUM(E$99:E124))</f>
        <v>41599.5</v>
      </c>
      <c r="E125" s="487">
        <f>IF(+J96&lt;F124,J96,D125)</f>
        <v>2246</v>
      </c>
      <c r="F125" s="486">
        <f t="shared" si="36"/>
        <v>39353.5</v>
      </c>
      <c r="G125" s="486">
        <f t="shared" si="37"/>
        <v>40476.5</v>
      </c>
      <c r="H125" s="487">
        <f t="shared" si="39"/>
        <v>6912.8291690389233</v>
      </c>
      <c r="I125" s="543">
        <f t="shared" si="40"/>
        <v>6912.8291690389233</v>
      </c>
      <c r="J125" s="479">
        <f t="shared" si="22"/>
        <v>0</v>
      </c>
      <c r="K125" s="479"/>
      <c r="L125" s="488"/>
      <c r="M125" s="479">
        <f t="shared" si="24"/>
        <v>0</v>
      </c>
      <c r="N125" s="488"/>
      <c r="O125" s="479">
        <f t="shared" si="26"/>
        <v>0</v>
      </c>
      <c r="P125" s="479">
        <f t="shared" si="27"/>
        <v>0</v>
      </c>
    </row>
    <row r="126" spans="2:16" ht="12.5">
      <c r="B126" s="160" t="str">
        <f t="shared" si="28"/>
        <v/>
      </c>
      <c r="C126" s="473">
        <f>IF(D93="","-",+C125+1)</f>
        <v>2037</v>
      </c>
      <c r="D126" s="347">
        <f>IF(F125+SUM(E$99:E125)=D$92,F125,D$92-SUM(E$99:E125))</f>
        <v>39353.5</v>
      </c>
      <c r="E126" s="487">
        <f>IF(+J96&lt;F125,J96,D126)</f>
        <v>2246</v>
      </c>
      <c r="F126" s="486">
        <f t="shared" si="36"/>
        <v>37107.5</v>
      </c>
      <c r="G126" s="486">
        <f t="shared" si="37"/>
        <v>38230.5</v>
      </c>
      <c r="H126" s="487">
        <f t="shared" si="39"/>
        <v>6653.8715439067746</v>
      </c>
      <c r="I126" s="543">
        <f t="shared" si="40"/>
        <v>6653.8715439067746</v>
      </c>
      <c r="J126" s="479">
        <f t="shared" si="22"/>
        <v>0</v>
      </c>
      <c r="K126" s="479"/>
      <c r="L126" s="488"/>
      <c r="M126" s="479">
        <f t="shared" si="24"/>
        <v>0</v>
      </c>
      <c r="N126" s="488"/>
      <c r="O126" s="479">
        <f t="shared" si="26"/>
        <v>0</v>
      </c>
      <c r="P126" s="479">
        <f t="shared" si="27"/>
        <v>0</v>
      </c>
    </row>
    <row r="127" spans="2:16" ht="12.5">
      <c r="B127" s="160" t="str">
        <f t="shared" si="28"/>
        <v/>
      </c>
      <c r="C127" s="473">
        <f>IF(D93="","-",+C126+1)</f>
        <v>2038</v>
      </c>
      <c r="D127" s="347">
        <f>IF(F126+SUM(E$99:E126)=D$92,F126,D$92-SUM(E$99:E126))</f>
        <v>37107.5</v>
      </c>
      <c r="E127" s="487">
        <f>IF(+J96&lt;F126,J96,D127)</f>
        <v>2246</v>
      </c>
      <c r="F127" s="486">
        <f t="shared" si="36"/>
        <v>34861.5</v>
      </c>
      <c r="G127" s="486">
        <f t="shared" si="37"/>
        <v>35984.5</v>
      </c>
      <c r="H127" s="487">
        <f t="shared" si="39"/>
        <v>6394.913918774625</v>
      </c>
      <c r="I127" s="543">
        <f t="shared" si="40"/>
        <v>6394.913918774625</v>
      </c>
      <c r="J127" s="479">
        <f t="shared" si="22"/>
        <v>0</v>
      </c>
      <c r="K127" s="479"/>
      <c r="L127" s="488"/>
      <c r="M127" s="479">
        <f t="shared" si="24"/>
        <v>0</v>
      </c>
      <c r="N127" s="488"/>
      <c r="O127" s="479">
        <f t="shared" si="26"/>
        <v>0</v>
      </c>
      <c r="P127" s="479">
        <f t="shared" si="27"/>
        <v>0</v>
      </c>
    </row>
    <row r="128" spans="2:16" ht="12.5">
      <c r="B128" s="160" t="str">
        <f t="shared" si="28"/>
        <v/>
      </c>
      <c r="C128" s="473">
        <f>IF(D93="","-",+C127+1)</f>
        <v>2039</v>
      </c>
      <c r="D128" s="347">
        <f>IF(F127+SUM(E$99:E127)=D$92,F127,D$92-SUM(E$99:E127))</f>
        <v>34861.5</v>
      </c>
      <c r="E128" s="487">
        <f>IF(+J96&lt;F127,J96,D128)</f>
        <v>2246</v>
      </c>
      <c r="F128" s="486">
        <f t="shared" si="36"/>
        <v>32615.5</v>
      </c>
      <c r="G128" s="486">
        <f t="shared" si="37"/>
        <v>33738.5</v>
      </c>
      <c r="H128" s="487">
        <f t="shared" si="39"/>
        <v>6135.9562936424772</v>
      </c>
      <c r="I128" s="543">
        <f t="shared" si="40"/>
        <v>6135.9562936424772</v>
      </c>
      <c r="J128" s="479">
        <f t="shared" si="22"/>
        <v>0</v>
      </c>
      <c r="K128" s="479"/>
      <c r="L128" s="488"/>
      <c r="M128" s="479">
        <f t="shared" si="24"/>
        <v>0</v>
      </c>
      <c r="N128" s="488"/>
      <c r="O128" s="479">
        <f t="shared" si="26"/>
        <v>0</v>
      </c>
      <c r="P128" s="479">
        <f t="shared" si="27"/>
        <v>0</v>
      </c>
    </row>
    <row r="129" spans="2:16" ht="12.5">
      <c r="B129" s="160" t="str">
        <f t="shared" si="28"/>
        <v/>
      </c>
      <c r="C129" s="473">
        <f>IF(D93="","-",+C128+1)</f>
        <v>2040</v>
      </c>
      <c r="D129" s="347">
        <f>IF(F128+SUM(E$99:E128)=D$92,F128,D$92-SUM(E$99:E128))</f>
        <v>32615.5</v>
      </c>
      <c r="E129" s="487">
        <f>IF(+J96&lt;F128,J96,D129)</f>
        <v>2246</v>
      </c>
      <c r="F129" s="486">
        <f t="shared" si="36"/>
        <v>30369.5</v>
      </c>
      <c r="G129" s="486">
        <f t="shared" si="37"/>
        <v>31492.5</v>
      </c>
      <c r="H129" s="487">
        <f t="shared" si="39"/>
        <v>5876.9986685103277</v>
      </c>
      <c r="I129" s="543">
        <f t="shared" si="40"/>
        <v>5876.9986685103277</v>
      </c>
      <c r="J129" s="479">
        <f t="shared" si="22"/>
        <v>0</v>
      </c>
      <c r="K129" s="479"/>
      <c r="L129" s="488"/>
      <c r="M129" s="479">
        <f t="shared" si="24"/>
        <v>0</v>
      </c>
      <c r="N129" s="488"/>
      <c r="O129" s="479">
        <f t="shared" si="26"/>
        <v>0</v>
      </c>
      <c r="P129" s="479">
        <f t="shared" si="27"/>
        <v>0</v>
      </c>
    </row>
    <row r="130" spans="2:16" ht="12.5">
      <c r="B130" s="160" t="str">
        <f t="shared" si="28"/>
        <v/>
      </c>
      <c r="C130" s="473">
        <f>IF(D93="","-",+C129+1)</f>
        <v>2041</v>
      </c>
      <c r="D130" s="347">
        <f>IF(F129+SUM(E$99:E129)=D$92,F129,D$92-SUM(E$99:E129))</f>
        <v>30369.5</v>
      </c>
      <c r="E130" s="487">
        <f>IF(+J96&lt;F129,J96,D130)</f>
        <v>2246</v>
      </c>
      <c r="F130" s="486">
        <f t="shared" ref="F130:F145" si="41">+D130-E130</f>
        <v>28123.5</v>
      </c>
      <c r="G130" s="486">
        <f t="shared" ref="G130:G145" si="42">+(F130+D130)/2</f>
        <v>29246.5</v>
      </c>
      <c r="H130" s="487">
        <f t="shared" si="39"/>
        <v>5618.041043378179</v>
      </c>
      <c r="I130" s="543">
        <f t="shared" si="40"/>
        <v>5618.041043378179</v>
      </c>
      <c r="J130" s="479">
        <f t="shared" si="22"/>
        <v>0</v>
      </c>
      <c r="K130" s="479"/>
      <c r="L130" s="488"/>
      <c r="M130" s="479">
        <f t="shared" si="24"/>
        <v>0</v>
      </c>
      <c r="N130" s="488"/>
      <c r="O130" s="479">
        <f t="shared" si="26"/>
        <v>0</v>
      </c>
      <c r="P130" s="479">
        <f t="shared" si="27"/>
        <v>0</v>
      </c>
    </row>
    <row r="131" spans="2:16" ht="12.5">
      <c r="B131" s="160" t="str">
        <f t="shared" si="28"/>
        <v/>
      </c>
      <c r="C131" s="473">
        <f>IF(D93="","-",+C130+1)</f>
        <v>2042</v>
      </c>
      <c r="D131" s="347">
        <f>IF(F130+SUM(E$99:E130)=D$92,F130,D$92-SUM(E$99:E130))</f>
        <v>28123.5</v>
      </c>
      <c r="E131" s="487">
        <f>IF(+J96&lt;F130,J96,D131)</f>
        <v>2246</v>
      </c>
      <c r="F131" s="486">
        <f t="shared" si="41"/>
        <v>25877.5</v>
      </c>
      <c r="G131" s="486">
        <f t="shared" si="42"/>
        <v>27000.5</v>
      </c>
      <c r="H131" s="487">
        <f t="shared" si="39"/>
        <v>5359.0834182460303</v>
      </c>
      <c r="I131" s="543">
        <f t="shared" si="40"/>
        <v>5359.0834182460303</v>
      </c>
      <c r="J131" s="479">
        <f t="shared" ref="J131:J154" si="43">+I541-H541</f>
        <v>0</v>
      </c>
      <c r="K131" s="479"/>
      <c r="L131" s="488"/>
      <c r="M131" s="479">
        <f t="shared" ref="M131:M154" si="44">IF(L541&lt;&gt;0,+H541-L541,0)</f>
        <v>0</v>
      </c>
      <c r="N131" s="488"/>
      <c r="O131" s="479">
        <f t="shared" ref="O131:O154" si="45">IF(N541&lt;&gt;0,+I541-N541,0)</f>
        <v>0</v>
      </c>
      <c r="P131" s="479">
        <f t="shared" ref="P131:P154" si="46">+O541-M541</f>
        <v>0</v>
      </c>
    </row>
    <row r="132" spans="2:16" ht="12.5">
      <c r="B132" s="160" t="str">
        <f t="shared" si="28"/>
        <v/>
      </c>
      <c r="C132" s="473">
        <f>IF(D93="","-",+C131+1)</f>
        <v>2043</v>
      </c>
      <c r="D132" s="347">
        <f>IF(F131+SUM(E$99:E131)=D$92,F131,D$92-SUM(E$99:E131))</f>
        <v>25877.5</v>
      </c>
      <c r="E132" s="487">
        <f>IF(+J96&lt;F131,J96,D132)</f>
        <v>2246</v>
      </c>
      <c r="F132" s="486">
        <f t="shared" si="41"/>
        <v>23631.5</v>
      </c>
      <c r="G132" s="486">
        <f t="shared" si="42"/>
        <v>24754.5</v>
      </c>
      <c r="H132" s="487">
        <f t="shared" si="39"/>
        <v>5100.1257931138807</v>
      </c>
      <c r="I132" s="543">
        <f t="shared" si="40"/>
        <v>5100.1257931138807</v>
      </c>
      <c r="J132" s="479">
        <f t="shared" si="43"/>
        <v>0</v>
      </c>
      <c r="K132" s="479"/>
      <c r="L132" s="488"/>
      <c r="M132" s="479">
        <f t="shared" si="44"/>
        <v>0</v>
      </c>
      <c r="N132" s="488"/>
      <c r="O132" s="479">
        <f t="shared" si="45"/>
        <v>0</v>
      </c>
      <c r="P132" s="479">
        <f t="shared" si="46"/>
        <v>0</v>
      </c>
    </row>
    <row r="133" spans="2:16" ht="12.5">
      <c r="B133" s="160" t="str">
        <f t="shared" si="28"/>
        <v/>
      </c>
      <c r="C133" s="473">
        <f>IF(D93="","-",+C132+1)</f>
        <v>2044</v>
      </c>
      <c r="D133" s="347">
        <f>IF(F132+SUM(E$99:E132)=D$92,F132,D$92-SUM(E$99:E132))</f>
        <v>23631.5</v>
      </c>
      <c r="E133" s="487">
        <f>IF(+J96&lt;F132,J96,D133)</f>
        <v>2246</v>
      </c>
      <c r="F133" s="486">
        <f t="shared" si="41"/>
        <v>21385.5</v>
      </c>
      <c r="G133" s="486">
        <f t="shared" si="42"/>
        <v>22508.5</v>
      </c>
      <c r="H133" s="487">
        <f t="shared" si="39"/>
        <v>4841.168167981732</v>
      </c>
      <c r="I133" s="543">
        <f t="shared" si="40"/>
        <v>4841.168167981732</v>
      </c>
      <c r="J133" s="479">
        <f t="shared" si="43"/>
        <v>0</v>
      </c>
      <c r="K133" s="479"/>
      <c r="L133" s="488"/>
      <c r="M133" s="479">
        <f t="shared" si="44"/>
        <v>0</v>
      </c>
      <c r="N133" s="488"/>
      <c r="O133" s="479">
        <f t="shared" si="45"/>
        <v>0</v>
      </c>
      <c r="P133" s="479">
        <f t="shared" si="46"/>
        <v>0</v>
      </c>
    </row>
    <row r="134" spans="2:16" ht="12.5">
      <c r="B134" s="160" t="str">
        <f t="shared" si="28"/>
        <v/>
      </c>
      <c r="C134" s="473">
        <f>IF(D93="","-",+C133+1)</f>
        <v>2045</v>
      </c>
      <c r="D134" s="347">
        <f>IF(F133+SUM(E$99:E133)=D$92,F133,D$92-SUM(E$99:E133))</f>
        <v>21385.5</v>
      </c>
      <c r="E134" s="487">
        <f>IF(+J96&lt;F133,J96,D134)</f>
        <v>2246</v>
      </c>
      <c r="F134" s="486">
        <f t="shared" si="41"/>
        <v>19139.5</v>
      </c>
      <c r="G134" s="486">
        <f t="shared" si="42"/>
        <v>20262.5</v>
      </c>
      <c r="H134" s="487">
        <f t="shared" si="39"/>
        <v>4582.2105428495834</v>
      </c>
      <c r="I134" s="543">
        <f t="shared" si="40"/>
        <v>4582.2105428495834</v>
      </c>
      <c r="J134" s="479">
        <f t="shared" si="43"/>
        <v>0</v>
      </c>
      <c r="K134" s="479"/>
      <c r="L134" s="488"/>
      <c r="M134" s="479">
        <f t="shared" si="44"/>
        <v>0</v>
      </c>
      <c r="N134" s="488"/>
      <c r="O134" s="479">
        <f t="shared" si="45"/>
        <v>0</v>
      </c>
      <c r="P134" s="479">
        <f t="shared" si="46"/>
        <v>0</v>
      </c>
    </row>
    <row r="135" spans="2:16" ht="12.5">
      <c r="B135" s="160" t="str">
        <f t="shared" si="28"/>
        <v/>
      </c>
      <c r="C135" s="473">
        <f>IF(D93="","-",+C134+1)</f>
        <v>2046</v>
      </c>
      <c r="D135" s="347">
        <f>IF(F134+SUM(E$99:E134)=D$92,F134,D$92-SUM(E$99:E134))</f>
        <v>19139.5</v>
      </c>
      <c r="E135" s="487">
        <f>IF(+J96&lt;F134,J96,D135)</f>
        <v>2246</v>
      </c>
      <c r="F135" s="486">
        <f t="shared" si="41"/>
        <v>16893.5</v>
      </c>
      <c r="G135" s="486">
        <f t="shared" si="42"/>
        <v>18016.5</v>
      </c>
      <c r="H135" s="487">
        <f t="shared" si="39"/>
        <v>4323.2529177174347</v>
      </c>
      <c r="I135" s="543">
        <f t="shared" si="40"/>
        <v>4323.2529177174347</v>
      </c>
      <c r="J135" s="479">
        <f t="shared" si="43"/>
        <v>0</v>
      </c>
      <c r="K135" s="479"/>
      <c r="L135" s="488"/>
      <c r="M135" s="479">
        <f t="shared" si="44"/>
        <v>0</v>
      </c>
      <c r="N135" s="488"/>
      <c r="O135" s="479">
        <f t="shared" si="45"/>
        <v>0</v>
      </c>
      <c r="P135" s="479">
        <f t="shared" si="46"/>
        <v>0</v>
      </c>
    </row>
    <row r="136" spans="2:16" ht="12.5">
      <c r="B136" s="160" t="str">
        <f t="shared" si="28"/>
        <v/>
      </c>
      <c r="C136" s="473">
        <f>IF(D93="","-",+C135+1)</f>
        <v>2047</v>
      </c>
      <c r="D136" s="347">
        <f>IF(F135+SUM(E$99:E135)=D$92,F135,D$92-SUM(E$99:E135))</f>
        <v>16893.5</v>
      </c>
      <c r="E136" s="487">
        <f>IF(+J96&lt;F135,J96,D136)</f>
        <v>2246</v>
      </c>
      <c r="F136" s="486">
        <f t="shared" si="41"/>
        <v>14647.5</v>
      </c>
      <c r="G136" s="486">
        <f t="shared" si="42"/>
        <v>15770.5</v>
      </c>
      <c r="H136" s="487">
        <f t="shared" si="39"/>
        <v>4064.295292585286</v>
      </c>
      <c r="I136" s="543">
        <f t="shared" si="40"/>
        <v>4064.295292585286</v>
      </c>
      <c r="J136" s="479">
        <f t="shared" si="43"/>
        <v>0</v>
      </c>
      <c r="K136" s="479"/>
      <c r="L136" s="488"/>
      <c r="M136" s="479">
        <f t="shared" si="44"/>
        <v>0</v>
      </c>
      <c r="N136" s="488"/>
      <c r="O136" s="479">
        <f t="shared" si="45"/>
        <v>0</v>
      </c>
      <c r="P136" s="479">
        <f t="shared" si="46"/>
        <v>0</v>
      </c>
    </row>
    <row r="137" spans="2:16" ht="12.5">
      <c r="B137" s="160" t="str">
        <f t="shared" si="28"/>
        <v/>
      </c>
      <c r="C137" s="473">
        <f>IF(D93="","-",+C136+1)</f>
        <v>2048</v>
      </c>
      <c r="D137" s="347">
        <f>IF(F136+SUM(E$99:E136)=D$92,F136,D$92-SUM(E$99:E136))</f>
        <v>14647.5</v>
      </c>
      <c r="E137" s="487">
        <f>IF(+J96&lt;F136,J96,D137)</f>
        <v>2246</v>
      </c>
      <c r="F137" s="486">
        <f t="shared" si="41"/>
        <v>12401.5</v>
      </c>
      <c r="G137" s="486">
        <f t="shared" si="42"/>
        <v>13524.5</v>
      </c>
      <c r="H137" s="487">
        <f t="shared" si="39"/>
        <v>3805.3376674531373</v>
      </c>
      <c r="I137" s="543">
        <f t="shared" si="40"/>
        <v>3805.3376674531373</v>
      </c>
      <c r="J137" s="479">
        <f t="shared" si="43"/>
        <v>0</v>
      </c>
      <c r="K137" s="479"/>
      <c r="L137" s="488"/>
      <c r="M137" s="479">
        <f t="shared" si="44"/>
        <v>0</v>
      </c>
      <c r="N137" s="488"/>
      <c r="O137" s="479">
        <f t="shared" si="45"/>
        <v>0</v>
      </c>
      <c r="P137" s="479">
        <f t="shared" si="46"/>
        <v>0</v>
      </c>
    </row>
    <row r="138" spans="2:16" ht="12.5">
      <c r="B138" s="160" t="str">
        <f t="shared" si="28"/>
        <v/>
      </c>
      <c r="C138" s="473">
        <f>IF(D93="","-",+C137+1)</f>
        <v>2049</v>
      </c>
      <c r="D138" s="347">
        <f>IF(F137+SUM(E$99:E137)=D$92,F137,D$92-SUM(E$99:E137))</f>
        <v>12401.5</v>
      </c>
      <c r="E138" s="487">
        <f>IF(+J96&lt;F137,J96,D138)</f>
        <v>2246</v>
      </c>
      <c r="F138" s="486">
        <f t="shared" si="41"/>
        <v>10155.5</v>
      </c>
      <c r="G138" s="486">
        <f t="shared" si="42"/>
        <v>11278.5</v>
      </c>
      <c r="H138" s="487">
        <f t="shared" si="39"/>
        <v>3546.3800423209887</v>
      </c>
      <c r="I138" s="543">
        <f t="shared" si="40"/>
        <v>3546.3800423209887</v>
      </c>
      <c r="J138" s="479">
        <f t="shared" si="43"/>
        <v>0</v>
      </c>
      <c r="K138" s="479"/>
      <c r="L138" s="488"/>
      <c r="M138" s="479">
        <f t="shared" si="44"/>
        <v>0</v>
      </c>
      <c r="N138" s="488"/>
      <c r="O138" s="479">
        <f t="shared" si="45"/>
        <v>0</v>
      </c>
      <c r="P138" s="479">
        <f t="shared" si="46"/>
        <v>0</v>
      </c>
    </row>
    <row r="139" spans="2:16" ht="12.5">
      <c r="B139" s="160" t="str">
        <f t="shared" si="28"/>
        <v/>
      </c>
      <c r="C139" s="473">
        <f>IF(D93="","-",+C138+1)</f>
        <v>2050</v>
      </c>
      <c r="D139" s="347">
        <f>IF(F138+SUM(E$99:E138)=D$92,F138,D$92-SUM(E$99:E138))</f>
        <v>10155.5</v>
      </c>
      <c r="E139" s="487">
        <f>IF(+J96&lt;F138,J96,D139)</f>
        <v>2246</v>
      </c>
      <c r="F139" s="486">
        <f t="shared" si="41"/>
        <v>7909.5</v>
      </c>
      <c r="G139" s="486">
        <f t="shared" si="42"/>
        <v>9032.5</v>
      </c>
      <c r="H139" s="487">
        <f t="shared" si="39"/>
        <v>3287.42241718884</v>
      </c>
      <c r="I139" s="543">
        <f t="shared" si="40"/>
        <v>3287.42241718884</v>
      </c>
      <c r="J139" s="479">
        <f t="shared" si="43"/>
        <v>0</v>
      </c>
      <c r="K139" s="479"/>
      <c r="L139" s="488"/>
      <c r="M139" s="479">
        <f t="shared" si="44"/>
        <v>0</v>
      </c>
      <c r="N139" s="488"/>
      <c r="O139" s="479">
        <f t="shared" si="45"/>
        <v>0</v>
      </c>
      <c r="P139" s="479">
        <f t="shared" si="46"/>
        <v>0</v>
      </c>
    </row>
    <row r="140" spans="2:16" ht="12.5">
      <c r="B140" s="160" t="str">
        <f t="shared" si="28"/>
        <v/>
      </c>
      <c r="C140" s="473">
        <f>IF(D93="","-",+C139+1)</f>
        <v>2051</v>
      </c>
      <c r="D140" s="347">
        <f>IF(F139+SUM(E$99:E139)=D$92,F139,D$92-SUM(E$99:E139))</f>
        <v>7909.5</v>
      </c>
      <c r="E140" s="487">
        <f>IF(+J96&lt;F139,J96,D140)</f>
        <v>2246</v>
      </c>
      <c r="F140" s="486">
        <f t="shared" si="41"/>
        <v>5663.5</v>
      </c>
      <c r="G140" s="486">
        <f t="shared" si="42"/>
        <v>6786.5</v>
      </c>
      <c r="H140" s="487">
        <f t="shared" si="39"/>
        <v>3028.4647920566908</v>
      </c>
      <c r="I140" s="543">
        <f t="shared" si="40"/>
        <v>3028.4647920566908</v>
      </c>
      <c r="J140" s="479">
        <f t="shared" si="43"/>
        <v>0</v>
      </c>
      <c r="K140" s="479"/>
      <c r="L140" s="488"/>
      <c r="M140" s="479">
        <f t="shared" si="44"/>
        <v>0</v>
      </c>
      <c r="N140" s="488"/>
      <c r="O140" s="479">
        <f t="shared" si="45"/>
        <v>0</v>
      </c>
      <c r="P140" s="479">
        <f t="shared" si="46"/>
        <v>0</v>
      </c>
    </row>
    <row r="141" spans="2:16" ht="12.5">
      <c r="B141" s="160" t="str">
        <f t="shared" si="28"/>
        <v/>
      </c>
      <c r="C141" s="473">
        <f>IF(D93="","-",+C140+1)</f>
        <v>2052</v>
      </c>
      <c r="D141" s="347">
        <f>IF(F140+SUM(E$99:E140)=D$92,F140,D$92-SUM(E$99:E140))</f>
        <v>5663.5</v>
      </c>
      <c r="E141" s="487">
        <f>IF(+J96&lt;F140,J96,D141)</f>
        <v>2246</v>
      </c>
      <c r="F141" s="486">
        <f t="shared" si="41"/>
        <v>3417.5</v>
      </c>
      <c r="G141" s="486">
        <f t="shared" si="42"/>
        <v>4540.5</v>
      </c>
      <c r="H141" s="487">
        <f t="shared" si="39"/>
        <v>2769.5071669245422</v>
      </c>
      <c r="I141" s="543">
        <f t="shared" si="40"/>
        <v>2769.5071669245422</v>
      </c>
      <c r="J141" s="479">
        <f t="shared" si="43"/>
        <v>0</v>
      </c>
      <c r="K141" s="479"/>
      <c r="L141" s="488"/>
      <c r="M141" s="479">
        <f t="shared" si="44"/>
        <v>0</v>
      </c>
      <c r="N141" s="488"/>
      <c r="O141" s="479">
        <f t="shared" si="45"/>
        <v>0</v>
      </c>
      <c r="P141" s="479">
        <f t="shared" si="46"/>
        <v>0</v>
      </c>
    </row>
    <row r="142" spans="2:16" ht="12.5">
      <c r="B142" s="160" t="str">
        <f t="shared" si="28"/>
        <v/>
      </c>
      <c r="C142" s="473">
        <f>IF(D93="","-",+C141+1)</f>
        <v>2053</v>
      </c>
      <c r="D142" s="347">
        <f>IF(F141+SUM(E$99:E141)=D$92,F141,D$92-SUM(E$99:E141))</f>
        <v>3417.5</v>
      </c>
      <c r="E142" s="487">
        <f>IF(+J96&lt;F141,J96,D142)</f>
        <v>2246</v>
      </c>
      <c r="F142" s="486">
        <f t="shared" si="41"/>
        <v>1171.5</v>
      </c>
      <c r="G142" s="486">
        <f t="shared" si="42"/>
        <v>2294.5</v>
      </c>
      <c r="H142" s="487">
        <f t="shared" si="39"/>
        <v>2510.5495417923935</v>
      </c>
      <c r="I142" s="543">
        <f t="shared" si="40"/>
        <v>2510.5495417923935</v>
      </c>
      <c r="J142" s="479">
        <f t="shared" si="43"/>
        <v>0</v>
      </c>
      <c r="K142" s="479"/>
      <c r="L142" s="488"/>
      <c r="M142" s="479">
        <f t="shared" si="44"/>
        <v>0</v>
      </c>
      <c r="N142" s="488"/>
      <c r="O142" s="479">
        <f t="shared" si="45"/>
        <v>0</v>
      </c>
      <c r="P142" s="479">
        <f t="shared" si="46"/>
        <v>0</v>
      </c>
    </row>
    <row r="143" spans="2:16" ht="12.5">
      <c r="B143" s="160" t="str">
        <f t="shared" si="28"/>
        <v/>
      </c>
      <c r="C143" s="473">
        <f>IF(D93="","-",+C142+1)</f>
        <v>2054</v>
      </c>
      <c r="D143" s="347">
        <f>IF(F142+SUM(E$99:E142)=D$92,F142,D$92-SUM(E$99:E142))</f>
        <v>1171.5</v>
      </c>
      <c r="E143" s="487">
        <f>IF(+J96&lt;F142,J96,D143)</f>
        <v>1171.5</v>
      </c>
      <c r="F143" s="486">
        <f t="shared" si="41"/>
        <v>0</v>
      </c>
      <c r="G143" s="486">
        <f t="shared" si="42"/>
        <v>585.75</v>
      </c>
      <c r="H143" s="487">
        <f t="shared" si="39"/>
        <v>1239.0353646131596</v>
      </c>
      <c r="I143" s="543">
        <f t="shared" si="40"/>
        <v>1239.0353646131596</v>
      </c>
      <c r="J143" s="479">
        <f t="shared" si="43"/>
        <v>0</v>
      </c>
      <c r="K143" s="479"/>
      <c r="L143" s="488"/>
      <c r="M143" s="479">
        <f t="shared" si="44"/>
        <v>0</v>
      </c>
      <c r="N143" s="488"/>
      <c r="O143" s="479">
        <f t="shared" si="45"/>
        <v>0</v>
      </c>
      <c r="P143" s="479">
        <f t="shared" si="46"/>
        <v>0</v>
      </c>
    </row>
    <row r="144" spans="2:16" ht="12.5">
      <c r="B144" s="160" t="str">
        <f t="shared" si="28"/>
        <v/>
      </c>
      <c r="C144" s="473">
        <f>IF(D93="","-",+C143+1)</f>
        <v>2055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41"/>
        <v>0</v>
      </c>
      <c r="G144" s="486">
        <f t="shared" si="42"/>
        <v>0</v>
      </c>
      <c r="H144" s="487">
        <f t="shared" si="39"/>
        <v>0</v>
      </c>
      <c r="I144" s="543">
        <f t="shared" si="40"/>
        <v>0</v>
      </c>
      <c r="J144" s="479">
        <f t="shared" si="43"/>
        <v>0</v>
      </c>
      <c r="K144" s="479"/>
      <c r="L144" s="488"/>
      <c r="M144" s="479">
        <f t="shared" si="44"/>
        <v>0</v>
      </c>
      <c r="N144" s="488"/>
      <c r="O144" s="479">
        <f t="shared" si="45"/>
        <v>0</v>
      </c>
      <c r="P144" s="479">
        <f t="shared" si="46"/>
        <v>0</v>
      </c>
    </row>
    <row r="145" spans="2:16" ht="12.5">
      <c r="B145" s="160" t="str">
        <f t="shared" si="28"/>
        <v/>
      </c>
      <c r="C145" s="473">
        <f>IF(D93="","-",+C144+1)</f>
        <v>2056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41"/>
        <v>0</v>
      </c>
      <c r="G145" s="486">
        <f t="shared" si="42"/>
        <v>0</v>
      </c>
      <c r="H145" s="487">
        <f t="shared" si="39"/>
        <v>0</v>
      </c>
      <c r="I145" s="543">
        <f t="shared" si="40"/>
        <v>0</v>
      </c>
      <c r="J145" s="479">
        <f t="shared" si="43"/>
        <v>0</v>
      </c>
      <c r="K145" s="479"/>
      <c r="L145" s="488"/>
      <c r="M145" s="479">
        <f t="shared" si="44"/>
        <v>0</v>
      </c>
      <c r="N145" s="488"/>
      <c r="O145" s="479">
        <f t="shared" si="45"/>
        <v>0</v>
      </c>
      <c r="P145" s="479">
        <f t="shared" si="46"/>
        <v>0</v>
      </c>
    </row>
    <row r="146" spans="2:16" ht="12.5">
      <c r="B146" s="160" t="str">
        <f t="shared" si="28"/>
        <v/>
      </c>
      <c r="C146" s="473">
        <f>IF(D93="","-",+C145+1)</f>
        <v>2057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ref="F146:F154" si="47">+D146-E146</f>
        <v>0</v>
      </c>
      <c r="G146" s="486">
        <f t="shared" ref="G146:G154" si="48">+(F146+D146)/2</f>
        <v>0</v>
      </c>
      <c r="H146" s="487">
        <f t="shared" si="39"/>
        <v>0</v>
      </c>
      <c r="I146" s="543">
        <f t="shared" si="40"/>
        <v>0</v>
      </c>
      <c r="J146" s="479">
        <f t="shared" si="43"/>
        <v>0</v>
      </c>
      <c r="K146" s="479"/>
      <c r="L146" s="488"/>
      <c r="M146" s="479">
        <f t="shared" si="44"/>
        <v>0</v>
      </c>
      <c r="N146" s="488"/>
      <c r="O146" s="479">
        <f t="shared" si="45"/>
        <v>0</v>
      </c>
      <c r="P146" s="479">
        <f t="shared" si="46"/>
        <v>0</v>
      </c>
    </row>
    <row r="147" spans="2:16" ht="12.5">
      <c r="B147" s="160" t="str">
        <f t="shared" si="28"/>
        <v/>
      </c>
      <c r="C147" s="473">
        <f>IF(D93="","-",+C146+1)</f>
        <v>2058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47"/>
        <v>0</v>
      </c>
      <c r="G147" s="486">
        <f t="shared" si="48"/>
        <v>0</v>
      </c>
      <c r="H147" s="487">
        <f t="shared" si="39"/>
        <v>0</v>
      </c>
      <c r="I147" s="543">
        <f t="shared" si="40"/>
        <v>0</v>
      </c>
      <c r="J147" s="479">
        <f t="shared" si="43"/>
        <v>0</v>
      </c>
      <c r="K147" s="479"/>
      <c r="L147" s="488"/>
      <c r="M147" s="479">
        <f t="shared" si="44"/>
        <v>0</v>
      </c>
      <c r="N147" s="488"/>
      <c r="O147" s="479">
        <f t="shared" si="45"/>
        <v>0</v>
      </c>
      <c r="P147" s="479">
        <f t="shared" si="46"/>
        <v>0</v>
      </c>
    </row>
    <row r="148" spans="2:16" ht="12.5">
      <c r="B148" s="160" t="str">
        <f t="shared" si="28"/>
        <v/>
      </c>
      <c r="C148" s="473">
        <f>IF(D93="","-",+C147+1)</f>
        <v>2059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47"/>
        <v>0</v>
      </c>
      <c r="G148" s="486">
        <f t="shared" si="48"/>
        <v>0</v>
      </c>
      <c r="H148" s="487">
        <f t="shared" si="39"/>
        <v>0</v>
      </c>
      <c r="I148" s="543">
        <f t="shared" si="40"/>
        <v>0</v>
      </c>
      <c r="J148" s="479">
        <f t="shared" si="43"/>
        <v>0</v>
      </c>
      <c r="K148" s="479"/>
      <c r="L148" s="488"/>
      <c r="M148" s="479">
        <f t="shared" si="44"/>
        <v>0</v>
      </c>
      <c r="N148" s="488"/>
      <c r="O148" s="479">
        <f t="shared" si="45"/>
        <v>0</v>
      </c>
      <c r="P148" s="479">
        <f t="shared" si="46"/>
        <v>0</v>
      </c>
    </row>
    <row r="149" spans="2:16" ht="12.5">
      <c r="B149" s="160" t="str">
        <f t="shared" si="28"/>
        <v/>
      </c>
      <c r="C149" s="473">
        <f>IF(D93="","-",+C148+1)</f>
        <v>2060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47"/>
        <v>0</v>
      </c>
      <c r="G149" s="486">
        <f t="shared" si="48"/>
        <v>0</v>
      </c>
      <c r="H149" s="487">
        <f t="shared" si="39"/>
        <v>0</v>
      </c>
      <c r="I149" s="543">
        <f t="shared" si="40"/>
        <v>0</v>
      </c>
      <c r="J149" s="479">
        <f t="shared" si="43"/>
        <v>0</v>
      </c>
      <c r="K149" s="479"/>
      <c r="L149" s="488"/>
      <c r="M149" s="479">
        <f t="shared" si="44"/>
        <v>0</v>
      </c>
      <c r="N149" s="488"/>
      <c r="O149" s="479">
        <f t="shared" si="45"/>
        <v>0</v>
      </c>
      <c r="P149" s="479">
        <f t="shared" si="46"/>
        <v>0</v>
      </c>
    </row>
    <row r="150" spans="2:16" ht="12.5">
      <c r="B150" s="160" t="str">
        <f t="shared" si="28"/>
        <v/>
      </c>
      <c r="C150" s="473">
        <f>IF(D93="","-",+C149+1)</f>
        <v>2061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47"/>
        <v>0</v>
      </c>
      <c r="G150" s="486">
        <f t="shared" si="48"/>
        <v>0</v>
      </c>
      <c r="H150" s="487">
        <f t="shared" si="39"/>
        <v>0</v>
      </c>
      <c r="I150" s="543">
        <f t="shared" si="40"/>
        <v>0</v>
      </c>
      <c r="J150" s="479">
        <f t="shared" si="43"/>
        <v>0</v>
      </c>
      <c r="K150" s="479"/>
      <c r="L150" s="488"/>
      <c r="M150" s="479">
        <f t="shared" si="44"/>
        <v>0</v>
      </c>
      <c r="N150" s="488"/>
      <c r="O150" s="479">
        <f t="shared" si="45"/>
        <v>0</v>
      </c>
      <c r="P150" s="479">
        <f t="shared" si="46"/>
        <v>0</v>
      </c>
    </row>
    <row r="151" spans="2:16" ht="12.5">
      <c r="B151" s="160" t="str">
        <f t="shared" si="28"/>
        <v/>
      </c>
      <c r="C151" s="473">
        <f>IF(D93="","-",+C150+1)</f>
        <v>2062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47"/>
        <v>0</v>
      </c>
      <c r="G151" s="486">
        <f t="shared" si="48"/>
        <v>0</v>
      </c>
      <c r="H151" s="487">
        <f t="shared" si="39"/>
        <v>0</v>
      </c>
      <c r="I151" s="543">
        <f t="shared" si="40"/>
        <v>0</v>
      </c>
      <c r="J151" s="479">
        <f t="shared" si="43"/>
        <v>0</v>
      </c>
      <c r="K151" s="479"/>
      <c r="L151" s="488"/>
      <c r="M151" s="479">
        <f t="shared" si="44"/>
        <v>0</v>
      </c>
      <c r="N151" s="488"/>
      <c r="O151" s="479">
        <f t="shared" si="45"/>
        <v>0</v>
      </c>
      <c r="P151" s="479">
        <f t="shared" si="46"/>
        <v>0</v>
      </c>
    </row>
    <row r="152" spans="2:16" ht="12.5">
      <c r="B152" s="160" t="str">
        <f t="shared" si="28"/>
        <v/>
      </c>
      <c r="C152" s="473">
        <f>IF(D93="","-",+C151+1)</f>
        <v>2063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47"/>
        <v>0</v>
      </c>
      <c r="G152" s="486">
        <f t="shared" si="48"/>
        <v>0</v>
      </c>
      <c r="H152" s="487">
        <f t="shared" si="39"/>
        <v>0</v>
      </c>
      <c r="I152" s="543">
        <f t="shared" si="40"/>
        <v>0</v>
      </c>
      <c r="J152" s="479">
        <f t="shared" si="43"/>
        <v>0</v>
      </c>
      <c r="K152" s="479"/>
      <c r="L152" s="488"/>
      <c r="M152" s="479">
        <f t="shared" si="44"/>
        <v>0</v>
      </c>
      <c r="N152" s="488"/>
      <c r="O152" s="479">
        <f t="shared" si="45"/>
        <v>0</v>
      </c>
      <c r="P152" s="479">
        <f t="shared" si="46"/>
        <v>0</v>
      </c>
    </row>
    <row r="153" spans="2:16" ht="12.5">
      <c r="B153" s="160" t="str">
        <f t="shared" si="28"/>
        <v/>
      </c>
      <c r="C153" s="473">
        <f>IF(D93="","-",+C152+1)</f>
        <v>2064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47"/>
        <v>0</v>
      </c>
      <c r="G153" s="486">
        <f t="shared" si="48"/>
        <v>0</v>
      </c>
      <c r="H153" s="487">
        <f t="shared" si="39"/>
        <v>0</v>
      </c>
      <c r="I153" s="543">
        <f t="shared" si="40"/>
        <v>0</v>
      </c>
      <c r="J153" s="479">
        <f t="shared" si="43"/>
        <v>0</v>
      </c>
      <c r="K153" s="479"/>
      <c r="L153" s="488"/>
      <c r="M153" s="479">
        <f t="shared" si="44"/>
        <v>0</v>
      </c>
      <c r="N153" s="488"/>
      <c r="O153" s="479">
        <f t="shared" si="45"/>
        <v>0</v>
      </c>
      <c r="P153" s="479">
        <f t="shared" si="46"/>
        <v>0</v>
      </c>
    </row>
    <row r="154" spans="2:16" ht="13" thickBot="1">
      <c r="B154" s="160" t="str">
        <f t="shared" si="28"/>
        <v/>
      </c>
      <c r="C154" s="490">
        <f>IF(D93="","-",+C153+1)</f>
        <v>2065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47"/>
        <v>0</v>
      </c>
      <c r="G154" s="491">
        <f t="shared" si="48"/>
        <v>0</v>
      </c>
      <c r="H154" s="493">
        <f t="shared" ref="H154" si="49">+J$94*G154+E154</f>
        <v>0</v>
      </c>
      <c r="I154" s="546">
        <f t="shared" ref="I154" si="50">+J$95*G154+E154</f>
        <v>0</v>
      </c>
      <c r="J154" s="496">
        <f t="shared" si="43"/>
        <v>0</v>
      </c>
      <c r="K154" s="479"/>
      <c r="L154" s="495"/>
      <c r="M154" s="496">
        <f t="shared" si="44"/>
        <v>0</v>
      </c>
      <c r="N154" s="495"/>
      <c r="O154" s="496">
        <f t="shared" si="45"/>
        <v>0</v>
      </c>
      <c r="P154" s="496">
        <f t="shared" si="46"/>
        <v>0</v>
      </c>
    </row>
    <row r="155" spans="2:16" ht="12.5">
      <c r="C155" s="347" t="s">
        <v>77</v>
      </c>
      <c r="D155" s="348"/>
      <c r="E155" s="348">
        <f>SUM(E99:E154)</f>
        <v>96566</v>
      </c>
      <c r="F155" s="348"/>
      <c r="G155" s="348"/>
      <c r="H155" s="348">
        <f>SUM(H99:H154)</f>
        <v>360703.48761341034</v>
      </c>
      <c r="I155" s="348">
        <f>SUM(I99:I154)</f>
        <v>360703.48761341034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2" priority="1" stopIfTrue="1" operator="equal">
      <formula>$I$10</formula>
    </cfRule>
  </conditionalFormatting>
  <conditionalFormatting sqref="C99:C154">
    <cfRule type="cellIs" dxfId="4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rgb="FF92D050"/>
  </sheetPr>
  <dimension ref="A1:P162"/>
  <sheetViews>
    <sheetView view="pageBreakPreview" topLeftCell="B85" zoomScale="75" zoomScaleNormal="100" workbookViewId="0">
      <selection activeCell="H108" sqref="H108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3" width="17.7265625" style="148" customWidth="1"/>
    <col min="14" max="14" width="16.7265625" style="148" customWidth="1"/>
    <col min="15" max="15" width="18.4531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11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570" t="s">
        <v>263</v>
      </c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156683.13262286683</v>
      </c>
      <c r="P5" s="233"/>
    </row>
    <row r="6" spans="1:16" ht="15.5">
      <c r="C6" s="571" t="s">
        <v>264</v>
      </c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156683.13262286683</v>
      </c>
      <c r="O6" s="233"/>
      <c r="P6" s="233"/>
    </row>
    <row r="7" spans="1:16" ht="13.5" thickBot="1">
      <c r="C7" s="432" t="s">
        <v>46</v>
      </c>
      <c r="D7" s="433" t="s">
        <v>229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6" thickBot="1">
      <c r="C8" s="572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228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f>1493723*94%</f>
        <v>1404099.6199999999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2011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32653.479534883718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2011</v>
      </c>
      <c r="D17" s="474">
        <v>1624000</v>
      </c>
      <c r="E17" s="475">
        <v>15921.568627450981</v>
      </c>
      <c r="F17" s="474">
        <v>1608078.4313725489</v>
      </c>
      <c r="G17" s="475">
        <v>267655.54041850357</v>
      </c>
      <c r="H17" s="482">
        <v>267655.54041850357</v>
      </c>
      <c r="I17" s="476">
        <f>H17-G17</f>
        <v>0</v>
      </c>
      <c r="J17" s="476"/>
      <c r="K17" s="555">
        <f t="shared" ref="K17:K22" si="0">G17</f>
        <v>267655.54041850357</v>
      </c>
      <c r="L17" s="563">
        <f t="shared" ref="L17:L48" si="1">IF(K17&lt;&gt;0,+G17-K17,0)</f>
        <v>0</v>
      </c>
      <c r="M17" s="555">
        <f t="shared" ref="M17:M22" si="2">H17</f>
        <v>267655.54041850357</v>
      </c>
      <c r="N17" s="478">
        <f t="shared" ref="N17:N48" si="3">IF(M17&lt;&gt;0,+H17-M17,0)</f>
        <v>0</v>
      </c>
      <c r="O17" s="479">
        <f t="shared" ref="O17:O48" si="4">+N17-L17</f>
        <v>0</v>
      </c>
      <c r="P17" s="243"/>
    </row>
    <row r="18" spans="2:16" ht="12.5">
      <c r="B18" s="160" t="str">
        <f t="shared" ref="B18:B49" si="5">IF(D18=F17,"","IU")</f>
        <v>IU</v>
      </c>
      <c r="C18" s="473">
        <f>IF(D11="","-",+C17+1)</f>
        <v>2012</v>
      </c>
      <c r="D18" s="480">
        <v>1420815.4313725489</v>
      </c>
      <c r="E18" s="481">
        <v>27629.557692307691</v>
      </c>
      <c r="F18" s="480">
        <v>1393185.8736802412</v>
      </c>
      <c r="G18" s="481">
        <v>221570.55769230769</v>
      </c>
      <c r="H18" s="482">
        <v>221570.55769230769</v>
      </c>
      <c r="I18" s="476">
        <f t="shared" ref="I18:I48" si="6">H18-G18</f>
        <v>0</v>
      </c>
      <c r="J18" s="476"/>
      <c r="K18" s="477">
        <f t="shared" si="0"/>
        <v>221570.55769230769</v>
      </c>
      <c r="L18" s="551">
        <f t="shared" si="1"/>
        <v>0</v>
      </c>
      <c r="M18" s="477">
        <f t="shared" si="2"/>
        <v>221570.55769230769</v>
      </c>
      <c r="N18" s="479">
        <f t="shared" si="3"/>
        <v>0</v>
      </c>
      <c r="O18" s="479">
        <f t="shared" si="4"/>
        <v>0</v>
      </c>
      <c r="P18" s="243"/>
    </row>
    <row r="19" spans="2:16" ht="12.5">
      <c r="B19" s="160" t="str">
        <f t="shared" si="5"/>
        <v>IU</v>
      </c>
      <c r="C19" s="473">
        <f>IF(D11="","-",+C18+1)</f>
        <v>2013</v>
      </c>
      <c r="D19" s="480">
        <v>1450171.8736802414</v>
      </c>
      <c r="E19" s="481">
        <v>28725.442307692309</v>
      </c>
      <c r="F19" s="480">
        <v>1421446.4313725492</v>
      </c>
      <c r="G19" s="481">
        <v>231717.44230769231</v>
      </c>
      <c r="H19" s="482">
        <v>231717.44230769231</v>
      </c>
      <c r="I19" s="476">
        <v>0</v>
      </c>
      <c r="J19" s="476"/>
      <c r="K19" s="477">
        <f t="shared" si="0"/>
        <v>231717.44230769231</v>
      </c>
      <c r="L19" s="551">
        <f t="shared" ref="L19:L24" si="7">IF(K19&lt;&gt;0,+G19-K19,0)</f>
        <v>0</v>
      </c>
      <c r="M19" s="477">
        <f t="shared" si="2"/>
        <v>231717.44230769231</v>
      </c>
      <c r="N19" s="479">
        <f t="shared" ref="N19:N24" si="8">IF(M19&lt;&gt;0,+H19-M19,0)</f>
        <v>0</v>
      </c>
      <c r="O19" s="479">
        <f t="shared" ref="O19:O24" si="9">+N19-L19</f>
        <v>0</v>
      </c>
      <c r="P19" s="243"/>
    </row>
    <row r="20" spans="2:16" ht="12.5">
      <c r="B20" s="160" t="str">
        <f t="shared" si="5"/>
        <v>IU</v>
      </c>
      <c r="C20" s="473">
        <f>IF(D11="","-",+C19+1)</f>
        <v>2014</v>
      </c>
      <c r="D20" s="480">
        <v>1331823.0513725488</v>
      </c>
      <c r="E20" s="481">
        <v>27001.915769230767</v>
      </c>
      <c r="F20" s="480">
        <v>1304821.135603318</v>
      </c>
      <c r="G20" s="481">
        <v>206621.91576923078</v>
      </c>
      <c r="H20" s="482">
        <v>206621.91576923078</v>
      </c>
      <c r="I20" s="476">
        <v>0</v>
      </c>
      <c r="J20" s="476"/>
      <c r="K20" s="477">
        <f t="shared" si="0"/>
        <v>206621.91576923078</v>
      </c>
      <c r="L20" s="551">
        <f t="shared" si="7"/>
        <v>0</v>
      </c>
      <c r="M20" s="477">
        <f t="shared" si="2"/>
        <v>206621.91576923078</v>
      </c>
      <c r="N20" s="479">
        <f t="shared" si="8"/>
        <v>0</v>
      </c>
      <c r="O20" s="479">
        <f t="shared" si="9"/>
        <v>0</v>
      </c>
      <c r="P20" s="243"/>
    </row>
    <row r="21" spans="2:16" ht="12.5">
      <c r="B21" s="160" t="str">
        <f t="shared" si="5"/>
        <v/>
      </c>
      <c r="C21" s="473">
        <f>IF(D11="","-",+C20+1)</f>
        <v>2015</v>
      </c>
      <c r="D21" s="480">
        <v>1304821.135603318</v>
      </c>
      <c r="E21" s="481">
        <v>27001.915769230767</v>
      </c>
      <c r="F21" s="480">
        <v>1277819.2198340872</v>
      </c>
      <c r="G21" s="481">
        <v>203176.91576923078</v>
      </c>
      <c r="H21" s="482">
        <v>203176.91576923078</v>
      </c>
      <c r="I21" s="476">
        <v>0</v>
      </c>
      <c r="J21" s="476"/>
      <c r="K21" s="477">
        <f t="shared" si="0"/>
        <v>203176.91576923078</v>
      </c>
      <c r="L21" s="551">
        <f t="shared" si="7"/>
        <v>0</v>
      </c>
      <c r="M21" s="477">
        <f t="shared" si="2"/>
        <v>203176.91576923078</v>
      </c>
      <c r="N21" s="479">
        <f t="shared" si="8"/>
        <v>0</v>
      </c>
      <c r="O21" s="479">
        <f t="shared" si="9"/>
        <v>0</v>
      </c>
      <c r="P21" s="243"/>
    </row>
    <row r="22" spans="2:16" ht="12.5">
      <c r="B22" s="160" t="str">
        <f t="shared" si="5"/>
        <v/>
      </c>
      <c r="C22" s="473">
        <f>IF(D11="","-",+C21+1)</f>
        <v>2016</v>
      </c>
      <c r="D22" s="480">
        <v>1277819.2198340872</v>
      </c>
      <c r="E22" s="481">
        <v>27001.915769230767</v>
      </c>
      <c r="F22" s="480">
        <v>1250817.3040648564</v>
      </c>
      <c r="G22" s="481">
        <v>191058.91576923078</v>
      </c>
      <c r="H22" s="482">
        <v>191058.91576923078</v>
      </c>
      <c r="I22" s="476">
        <f t="shared" si="6"/>
        <v>0</v>
      </c>
      <c r="J22" s="476"/>
      <c r="K22" s="477">
        <f t="shared" si="0"/>
        <v>191058.91576923078</v>
      </c>
      <c r="L22" s="551">
        <f t="shared" si="7"/>
        <v>0</v>
      </c>
      <c r="M22" s="477">
        <f t="shared" si="2"/>
        <v>191058.91576923078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5"/>
        <v/>
      </c>
      <c r="C23" s="473">
        <f>IF(D11="","-",+C22+1)</f>
        <v>2017</v>
      </c>
      <c r="D23" s="480">
        <v>1250817.3040648564</v>
      </c>
      <c r="E23" s="481">
        <v>30523.904782608693</v>
      </c>
      <c r="F23" s="480">
        <v>1220293.3992822478</v>
      </c>
      <c r="G23" s="481">
        <v>185818.9047826087</v>
      </c>
      <c r="H23" s="482">
        <v>185818.9047826087</v>
      </c>
      <c r="I23" s="476">
        <f t="shared" si="6"/>
        <v>0</v>
      </c>
      <c r="J23" s="476"/>
      <c r="K23" s="477">
        <f>G23</f>
        <v>185818.9047826087</v>
      </c>
      <c r="L23" s="551">
        <f t="shared" si="7"/>
        <v>0</v>
      </c>
      <c r="M23" s="477">
        <f>H23</f>
        <v>185818.9047826087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5"/>
        <v/>
      </c>
      <c r="C24" s="473">
        <f>IF(D11="","-",+C23+1)</f>
        <v>2018</v>
      </c>
      <c r="D24" s="480">
        <v>1220293.3992822478</v>
      </c>
      <c r="E24" s="481">
        <v>31202.213777777775</v>
      </c>
      <c r="F24" s="480">
        <v>1189091.18550447</v>
      </c>
      <c r="G24" s="481">
        <v>192128.21377777777</v>
      </c>
      <c r="H24" s="482">
        <v>192128.21377777777</v>
      </c>
      <c r="I24" s="476">
        <f t="shared" si="6"/>
        <v>0</v>
      </c>
      <c r="J24" s="476"/>
      <c r="K24" s="477">
        <f>G24</f>
        <v>192128.21377777777</v>
      </c>
      <c r="L24" s="551">
        <f t="shared" si="7"/>
        <v>0</v>
      </c>
      <c r="M24" s="477">
        <f>H24</f>
        <v>192128.21377777777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5"/>
        <v/>
      </c>
      <c r="C25" s="473">
        <f>IF(D11="","-",+C24+1)</f>
        <v>2019</v>
      </c>
      <c r="D25" s="480">
        <v>1189091.18550447</v>
      </c>
      <c r="E25" s="481">
        <v>31202.213777777775</v>
      </c>
      <c r="F25" s="480">
        <v>1157888.9717266923</v>
      </c>
      <c r="G25" s="481">
        <v>187905.21377777777</v>
      </c>
      <c r="H25" s="482">
        <v>187905.21377777777</v>
      </c>
      <c r="I25" s="476">
        <f t="shared" si="6"/>
        <v>0</v>
      </c>
      <c r="J25" s="476"/>
      <c r="K25" s="477">
        <f>G25</f>
        <v>187905.21377777777</v>
      </c>
      <c r="L25" s="551">
        <f t="shared" ref="L25" si="10">IF(K25&lt;&gt;0,+G25-K25,0)</f>
        <v>0</v>
      </c>
      <c r="M25" s="477">
        <f>H25</f>
        <v>187905.21377777777</v>
      </c>
      <c r="N25" s="479">
        <f t="shared" ref="N25" si="11">IF(M25&lt;&gt;0,+H25-M25,0)</f>
        <v>0</v>
      </c>
      <c r="O25" s="479">
        <f t="shared" ref="O25" si="12">+N25-L25</f>
        <v>0</v>
      </c>
      <c r="P25" s="243"/>
    </row>
    <row r="26" spans="2:16" ht="12.5">
      <c r="B26" s="160" t="str">
        <f t="shared" si="5"/>
        <v/>
      </c>
      <c r="C26" s="473">
        <f>IF(D11="","-",+C25+1)</f>
        <v>2020</v>
      </c>
      <c r="D26" s="480">
        <v>1157888.9717266923</v>
      </c>
      <c r="E26" s="481">
        <v>33430.943333333329</v>
      </c>
      <c r="F26" s="480">
        <v>1124458.0283933589</v>
      </c>
      <c r="G26" s="481">
        <v>156683.13262286683</v>
      </c>
      <c r="H26" s="482">
        <v>156683.13262286683</v>
      </c>
      <c r="I26" s="476">
        <f t="shared" si="6"/>
        <v>0</v>
      </c>
      <c r="J26" s="476"/>
      <c r="K26" s="477">
        <f>G26</f>
        <v>156683.13262286683</v>
      </c>
      <c r="L26" s="551">
        <f t="shared" ref="L26" si="13">IF(K26&lt;&gt;0,+G26-K26,0)</f>
        <v>0</v>
      </c>
      <c r="M26" s="477">
        <f>H26</f>
        <v>156683.13262286683</v>
      </c>
      <c r="N26" s="479">
        <f t="shared" si="3"/>
        <v>0</v>
      </c>
      <c r="O26" s="479">
        <f t="shared" si="4"/>
        <v>0</v>
      </c>
      <c r="P26" s="243"/>
    </row>
    <row r="27" spans="2:16" ht="12.5">
      <c r="B27" s="160" t="str">
        <f t="shared" si="5"/>
        <v/>
      </c>
      <c r="C27" s="473">
        <f>IF(D11="","-",+C26+1)</f>
        <v>2021</v>
      </c>
      <c r="D27" s="484">
        <f>IF(F26+SUM(E$17:E26)=D$10,F26,D$10-SUM(E$17:E26))</f>
        <v>1124458.0283933589</v>
      </c>
      <c r="E27" s="485">
        <f>IF(+I14&lt;F26,I14,D27)</f>
        <v>32653.479534883718</v>
      </c>
      <c r="F27" s="486">
        <f t="shared" ref="F27:F49" si="14">+D27-E27</f>
        <v>1091804.5488584752</v>
      </c>
      <c r="G27" s="487">
        <f t="shared" ref="G27:G72" si="15">(D27+F27)/2*I$12+E27</f>
        <v>160151.00458759788</v>
      </c>
      <c r="H27" s="456">
        <f t="shared" ref="H27:H72" si="16">+(D27+F27)/2*I$13+E27</f>
        <v>160151.00458759788</v>
      </c>
      <c r="I27" s="476">
        <f t="shared" si="6"/>
        <v>0</v>
      </c>
      <c r="J27" s="476"/>
      <c r="K27" s="488"/>
      <c r="L27" s="479">
        <f t="shared" si="1"/>
        <v>0</v>
      </c>
      <c r="M27" s="488"/>
      <c r="N27" s="479">
        <f t="shared" si="3"/>
        <v>0</v>
      </c>
      <c r="O27" s="479">
        <f t="shared" si="4"/>
        <v>0</v>
      </c>
      <c r="P27" s="243"/>
    </row>
    <row r="28" spans="2:16" ht="12.5">
      <c r="B28" s="160" t="str">
        <f t="shared" si="5"/>
        <v/>
      </c>
      <c r="C28" s="473">
        <f>IF(D11="","-",+C27+1)</f>
        <v>2022</v>
      </c>
      <c r="D28" s="486">
        <f>IF(F27+SUM(E$17:E27)=D$10,F27,D$10-SUM(E$17:E27))</f>
        <v>1091804.5488584752</v>
      </c>
      <c r="E28" s="485">
        <f>IF(+I14&lt;F27,I14,D28)</f>
        <v>32653.479534883718</v>
      </c>
      <c r="F28" s="486">
        <f t="shared" si="14"/>
        <v>1059151.0693235914</v>
      </c>
      <c r="G28" s="487">
        <f t="shared" si="15"/>
        <v>156394.01489893065</v>
      </c>
      <c r="H28" s="456">
        <f t="shared" si="16"/>
        <v>156394.01489893065</v>
      </c>
      <c r="I28" s="476">
        <f t="shared" si="6"/>
        <v>0</v>
      </c>
      <c r="J28" s="476"/>
      <c r="K28" s="488"/>
      <c r="L28" s="479">
        <f t="shared" si="1"/>
        <v>0</v>
      </c>
      <c r="M28" s="488"/>
      <c r="N28" s="479">
        <f t="shared" si="3"/>
        <v>0</v>
      </c>
      <c r="O28" s="479">
        <f t="shared" si="4"/>
        <v>0</v>
      </c>
      <c r="P28" s="243"/>
    </row>
    <row r="29" spans="2:16" ht="12.5">
      <c r="B29" s="160" t="str">
        <f t="shared" si="5"/>
        <v/>
      </c>
      <c r="C29" s="473">
        <f>IF(D11="","-",+C28+1)</f>
        <v>2023</v>
      </c>
      <c r="D29" s="486">
        <f>IF(F28+SUM(E$17:E28)=D$10,F28,D$10-SUM(E$17:E28))</f>
        <v>1059151.0693235914</v>
      </c>
      <c r="E29" s="485">
        <f>IF(+I14&lt;F28,I14,D29)</f>
        <v>32653.479534883718</v>
      </c>
      <c r="F29" s="486">
        <f t="shared" si="14"/>
        <v>1026497.5897887077</v>
      </c>
      <c r="G29" s="487">
        <f t="shared" si="15"/>
        <v>152637.02521026338</v>
      </c>
      <c r="H29" s="456">
        <f t="shared" si="16"/>
        <v>152637.02521026338</v>
      </c>
      <c r="I29" s="476">
        <f t="shared" si="6"/>
        <v>0</v>
      </c>
      <c r="J29" s="476"/>
      <c r="K29" s="488"/>
      <c r="L29" s="479">
        <f t="shared" si="1"/>
        <v>0</v>
      </c>
      <c r="M29" s="488"/>
      <c r="N29" s="479">
        <f t="shared" si="3"/>
        <v>0</v>
      </c>
      <c r="O29" s="479">
        <f t="shared" si="4"/>
        <v>0</v>
      </c>
      <c r="P29" s="243"/>
    </row>
    <row r="30" spans="2:16" ht="12.5">
      <c r="B30" s="160" t="str">
        <f t="shared" si="5"/>
        <v/>
      </c>
      <c r="C30" s="473">
        <f>IF(D11="","-",+C29+1)</f>
        <v>2024</v>
      </c>
      <c r="D30" s="486">
        <f>IF(F29+SUM(E$17:E29)=D$10,F29,D$10-SUM(E$17:E29))</f>
        <v>1026497.5897887077</v>
      </c>
      <c r="E30" s="485">
        <f>IF(+I14&lt;F29,I14,D30)</f>
        <v>32653.479534883718</v>
      </c>
      <c r="F30" s="486">
        <f t="shared" si="14"/>
        <v>993844.11025382392</v>
      </c>
      <c r="G30" s="487">
        <f t="shared" si="15"/>
        <v>148880.03552159612</v>
      </c>
      <c r="H30" s="456">
        <f t="shared" si="16"/>
        <v>148880.03552159612</v>
      </c>
      <c r="I30" s="476">
        <f t="shared" si="6"/>
        <v>0</v>
      </c>
      <c r="J30" s="476"/>
      <c r="K30" s="488"/>
      <c r="L30" s="479">
        <f t="shared" si="1"/>
        <v>0</v>
      </c>
      <c r="M30" s="488"/>
      <c r="N30" s="479">
        <f t="shared" si="3"/>
        <v>0</v>
      </c>
      <c r="O30" s="479">
        <f t="shared" si="4"/>
        <v>0</v>
      </c>
      <c r="P30" s="243"/>
    </row>
    <row r="31" spans="2:16" ht="12.5">
      <c r="B31" s="160" t="str">
        <f t="shared" si="5"/>
        <v/>
      </c>
      <c r="C31" s="473">
        <f>IF(D11="","-",+C30+1)</f>
        <v>2025</v>
      </c>
      <c r="D31" s="486">
        <f>IF(F30+SUM(E$17:E30)=D$10,F30,D$10-SUM(E$17:E30))</f>
        <v>993844.11025382392</v>
      </c>
      <c r="E31" s="485">
        <f>IF(+I14&lt;F30,I14,D31)</f>
        <v>32653.479534883718</v>
      </c>
      <c r="F31" s="486">
        <f t="shared" si="14"/>
        <v>961190.63071894017</v>
      </c>
      <c r="G31" s="487">
        <f t="shared" si="15"/>
        <v>145123.04583292885</v>
      </c>
      <c r="H31" s="456">
        <f t="shared" si="16"/>
        <v>145123.04583292885</v>
      </c>
      <c r="I31" s="476">
        <f t="shared" si="6"/>
        <v>0</v>
      </c>
      <c r="J31" s="476"/>
      <c r="K31" s="488"/>
      <c r="L31" s="479">
        <f t="shared" si="1"/>
        <v>0</v>
      </c>
      <c r="M31" s="488"/>
      <c r="N31" s="479">
        <f t="shared" si="3"/>
        <v>0</v>
      </c>
      <c r="O31" s="479">
        <f t="shared" si="4"/>
        <v>0</v>
      </c>
      <c r="P31" s="243"/>
    </row>
    <row r="32" spans="2:16" ht="12.5">
      <c r="B32" s="160" t="str">
        <f t="shared" si="5"/>
        <v/>
      </c>
      <c r="C32" s="473">
        <f>IF(D11="","-",+C31+1)</f>
        <v>2026</v>
      </c>
      <c r="D32" s="486">
        <f>IF(F31+SUM(E$17:E31)=D$10,F31,D$10-SUM(E$17:E31))</f>
        <v>961190.63071894017</v>
      </c>
      <c r="E32" s="485">
        <f>IF(+I14&lt;F31,I14,D32)</f>
        <v>32653.479534883718</v>
      </c>
      <c r="F32" s="486">
        <f t="shared" si="14"/>
        <v>928537.15118405642</v>
      </c>
      <c r="G32" s="487">
        <f t="shared" si="15"/>
        <v>141366.05614426162</v>
      </c>
      <c r="H32" s="456">
        <f t="shared" si="16"/>
        <v>141366.05614426162</v>
      </c>
      <c r="I32" s="476">
        <f t="shared" si="6"/>
        <v>0</v>
      </c>
      <c r="J32" s="476"/>
      <c r="K32" s="488"/>
      <c r="L32" s="479">
        <f t="shared" si="1"/>
        <v>0</v>
      </c>
      <c r="M32" s="488"/>
      <c r="N32" s="479">
        <f t="shared" si="3"/>
        <v>0</v>
      </c>
      <c r="O32" s="479">
        <f t="shared" si="4"/>
        <v>0</v>
      </c>
      <c r="P32" s="243"/>
    </row>
    <row r="33" spans="2:16" ht="12.5">
      <c r="B33" s="160" t="str">
        <f t="shared" si="5"/>
        <v/>
      </c>
      <c r="C33" s="473">
        <f>IF(D11="","-",+C32+1)</f>
        <v>2027</v>
      </c>
      <c r="D33" s="486">
        <f>IF(F32+SUM(E$17:E32)=D$10,F32,D$10-SUM(E$17:E32))</f>
        <v>928537.15118405642</v>
      </c>
      <c r="E33" s="485">
        <f>IF(+I14&lt;F32,I14,D33)</f>
        <v>32653.479534883718</v>
      </c>
      <c r="F33" s="486">
        <f t="shared" si="14"/>
        <v>895883.67164917267</v>
      </c>
      <c r="G33" s="487">
        <f t="shared" si="15"/>
        <v>137609.06645559435</v>
      </c>
      <c r="H33" s="456">
        <f t="shared" si="16"/>
        <v>137609.06645559435</v>
      </c>
      <c r="I33" s="476">
        <f t="shared" si="6"/>
        <v>0</v>
      </c>
      <c r="J33" s="476"/>
      <c r="K33" s="488"/>
      <c r="L33" s="479">
        <f t="shared" si="1"/>
        <v>0</v>
      </c>
      <c r="M33" s="488"/>
      <c r="N33" s="479">
        <f t="shared" si="3"/>
        <v>0</v>
      </c>
      <c r="O33" s="479">
        <f t="shared" si="4"/>
        <v>0</v>
      </c>
      <c r="P33" s="243"/>
    </row>
    <row r="34" spans="2:16" ht="12.5">
      <c r="B34" s="160" t="str">
        <f t="shared" si="5"/>
        <v/>
      </c>
      <c r="C34" s="473">
        <f>IF(D11="","-",+C33+1)</f>
        <v>2028</v>
      </c>
      <c r="D34" s="486">
        <f>IF(F33+SUM(E$17:E33)=D$10,F33,D$10-SUM(E$17:E33))</f>
        <v>895883.67164917267</v>
      </c>
      <c r="E34" s="485">
        <f>IF(+I14&lt;F33,I14,D34)</f>
        <v>32653.479534883718</v>
      </c>
      <c r="F34" s="486">
        <f t="shared" si="14"/>
        <v>863230.19211428892</v>
      </c>
      <c r="G34" s="487">
        <f t="shared" si="15"/>
        <v>133852.07676692709</v>
      </c>
      <c r="H34" s="456">
        <f t="shared" si="16"/>
        <v>133852.07676692709</v>
      </c>
      <c r="I34" s="476">
        <f t="shared" si="6"/>
        <v>0</v>
      </c>
      <c r="J34" s="476"/>
      <c r="K34" s="488"/>
      <c r="L34" s="479">
        <f t="shared" si="1"/>
        <v>0</v>
      </c>
      <c r="M34" s="488"/>
      <c r="N34" s="479">
        <f t="shared" si="3"/>
        <v>0</v>
      </c>
      <c r="O34" s="479">
        <f t="shared" si="4"/>
        <v>0</v>
      </c>
      <c r="P34" s="243"/>
    </row>
    <row r="35" spans="2:16" ht="12.5">
      <c r="B35" s="160" t="str">
        <f t="shared" si="5"/>
        <v/>
      </c>
      <c r="C35" s="473">
        <f>IF(D11="","-",+C34+1)</f>
        <v>2029</v>
      </c>
      <c r="D35" s="486">
        <f>IF(F34+SUM(E$17:E34)=D$10,F34,D$10-SUM(E$17:E34))</f>
        <v>863230.19211428892</v>
      </c>
      <c r="E35" s="485">
        <f>IF(+I14&lt;F34,I14,D35)</f>
        <v>32653.479534883718</v>
      </c>
      <c r="F35" s="486">
        <f t="shared" si="14"/>
        <v>830576.71257940517</v>
      </c>
      <c r="G35" s="487">
        <f t="shared" si="15"/>
        <v>130095.08707825984</v>
      </c>
      <c r="H35" s="456">
        <f t="shared" si="16"/>
        <v>130095.08707825984</v>
      </c>
      <c r="I35" s="476">
        <f t="shared" si="6"/>
        <v>0</v>
      </c>
      <c r="J35" s="476"/>
      <c r="K35" s="488"/>
      <c r="L35" s="479">
        <f t="shared" si="1"/>
        <v>0</v>
      </c>
      <c r="M35" s="488"/>
      <c r="N35" s="479">
        <f t="shared" si="3"/>
        <v>0</v>
      </c>
      <c r="O35" s="479">
        <f t="shared" si="4"/>
        <v>0</v>
      </c>
      <c r="P35" s="243"/>
    </row>
    <row r="36" spans="2:16" ht="12.5">
      <c r="B36" s="160" t="str">
        <f t="shared" si="5"/>
        <v/>
      </c>
      <c r="C36" s="473">
        <f>IF(D11="","-",+C35+1)</f>
        <v>2030</v>
      </c>
      <c r="D36" s="486">
        <f>IF(F35+SUM(E$17:E35)=D$10,F35,D$10-SUM(E$17:E35))</f>
        <v>830576.71257940517</v>
      </c>
      <c r="E36" s="485">
        <f>IF(+I14&lt;F35,I14,D36)</f>
        <v>32653.479534883718</v>
      </c>
      <c r="F36" s="486">
        <f t="shared" si="14"/>
        <v>797923.23304452142</v>
      </c>
      <c r="G36" s="487">
        <f t="shared" si="15"/>
        <v>126338.09738959259</v>
      </c>
      <c r="H36" s="456">
        <f t="shared" si="16"/>
        <v>126338.09738959259</v>
      </c>
      <c r="I36" s="476">
        <f t="shared" si="6"/>
        <v>0</v>
      </c>
      <c r="J36" s="476"/>
      <c r="K36" s="488"/>
      <c r="L36" s="479">
        <f t="shared" si="1"/>
        <v>0</v>
      </c>
      <c r="M36" s="488"/>
      <c r="N36" s="479">
        <f t="shared" si="3"/>
        <v>0</v>
      </c>
      <c r="O36" s="479">
        <f t="shared" si="4"/>
        <v>0</v>
      </c>
      <c r="P36" s="243"/>
    </row>
    <row r="37" spans="2:16" ht="12.5">
      <c r="B37" s="160" t="str">
        <f t="shared" si="5"/>
        <v/>
      </c>
      <c r="C37" s="473">
        <f>IF(D11="","-",+C36+1)</f>
        <v>2031</v>
      </c>
      <c r="D37" s="486">
        <f>IF(F36+SUM(E$17:E36)=D$10,F36,D$10-SUM(E$17:E36))</f>
        <v>797923.23304452142</v>
      </c>
      <c r="E37" s="485">
        <f>IF(+I14&lt;F36,I14,D37)</f>
        <v>32653.479534883718</v>
      </c>
      <c r="F37" s="486">
        <f t="shared" si="14"/>
        <v>765269.75350963767</v>
      </c>
      <c r="G37" s="487">
        <f t="shared" si="15"/>
        <v>122581.10770092532</v>
      </c>
      <c r="H37" s="456">
        <f t="shared" si="16"/>
        <v>122581.10770092532</v>
      </c>
      <c r="I37" s="476">
        <f t="shared" si="6"/>
        <v>0</v>
      </c>
      <c r="J37" s="476"/>
      <c r="K37" s="488"/>
      <c r="L37" s="479">
        <f t="shared" si="1"/>
        <v>0</v>
      </c>
      <c r="M37" s="488"/>
      <c r="N37" s="479">
        <f t="shared" si="3"/>
        <v>0</v>
      </c>
      <c r="O37" s="479">
        <f t="shared" si="4"/>
        <v>0</v>
      </c>
      <c r="P37" s="243"/>
    </row>
    <row r="38" spans="2:16" ht="12.5">
      <c r="B38" s="160" t="str">
        <f t="shared" si="5"/>
        <v/>
      </c>
      <c r="C38" s="473">
        <f>IF(D11="","-",+C37+1)</f>
        <v>2032</v>
      </c>
      <c r="D38" s="486">
        <f>IF(F37+SUM(E$17:E37)=D$10,F37,D$10-SUM(E$17:E37))</f>
        <v>765269.75350963767</v>
      </c>
      <c r="E38" s="485">
        <f>IF(+I14&lt;F37,I14,D38)</f>
        <v>32653.479534883718</v>
      </c>
      <c r="F38" s="486">
        <f t="shared" si="14"/>
        <v>732616.27397475392</v>
      </c>
      <c r="G38" s="487">
        <f t="shared" si="15"/>
        <v>118824.11801225807</v>
      </c>
      <c r="H38" s="456">
        <f t="shared" si="16"/>
        <v>118824.11801225807</v>
      </c>
      <c r="I38" s="476">
        <f t="shared" si="6"/>
        <v>0</v>
      </c>
      <c r="J38" s="476"/>
      <c r="K38" s="488"/>
      <c r="L38" s="479">
        <f t="shared" si="1"/>
        <v>0</v>
      </c>
      <c r="M38" s="488"/>
      <c r="N38" s="479">
        <f t="shared" si="3"/>
        <v>0</v>
      </c>
      <c r="O38" s="479">
        <f t="shared" si="4"/>
        <v>0</v>
      </c>
      <c r="P38" s="243"/>
    </row>
    <row r="39" spans="2:16" ht="12.5">
      <c r="B39" s="160" t="str">
        <f t="shared" si="5"/>
        <v/>
      </c>
      <c r="C39" s="473">
        <f>IF(D11="","-",+C38+1)</f>
        <v>2033</v>
      </c>
      <c r="D39" s="486">
        <f>IF(F38+SUM(E$17:E38)=D$10,F38,D$10-SUM(E$17:E38))</f>
        <v>732616.27397475392</v>
      </c>
      <c r="E39" s="485">
        <f>IF(+I14&lt;F38,I14,D39)</f>
        <v>32653.479534883718</v>
      </c>
      <c r="F39" s="486">
        <f t="shared" si="14"/>
        <v>699962.79443987017</v>
      </c>
      <c r="G39" s="487">
        <f t="shared" si="15"/>
        <v>115067.12832359082</v>
      </c>
      <c r="H39" s="456">
        <f t="shared" si="16"/>
        <v>115067.12832359082</v>
      </c>
      <c r="I39" s="476">
        <f t="shared" si="6"/>
        <v>0</v>
      </c>
      <c r="J39" s="476"/>
      <c r="K39" s="488"/>
      <c r="L39" s="479">
        <f t="shared" si="1"/>
        <v>0</v>
      </c>
      <c r="M39" s="488"/>
      <c r="N39" s="479">
        <f t="shared" si="3"/>
        <v>0</v>
      </c>
      <c r="O39" s="479">
        <f t="shared" si="4"/>
        <v>0</v>
      </c>
      <c r="P39" s="243"/>
    </row>
    <row r="40" spans="2:16" ht="12.5">
      <c r="B40" s="160" t="str">
        <f t="shared" si="5"/>
        <v/>
      </c>
      <c r="C40" s="473">
        <f>IF(D11="","-",+C39+1)</f>
        <v>2034</v>
      </c>
      <c r="D40" s="486">
        <f>IF(F39+SUM(E$17:E39)=D$10,F39,D$10-SUM(E$17:E39))</f>
        <v>699962.79443987017</v>
      </c>
      <c r="E40" s="485">
        <f>IF(+I14&lt;F39,I14,D40)</f>
        <v>32653.479534883718</v>
      </c>
      <c r="F40" s="486">
        <f t="shared" si="14"/>
        <v>667309.31490498642</v>
      </c>
      <c r="G40" s="487">
        <f t="shared" si="15"/>
        <v>111310.13863492355</v>
      </c>
      <c r="H40" s="456">
        <f t="shared" si="16"/>
        <v>111310.13863492355</v>
      </c>
      <c r="I40" s="476">
        <f t="shared" si="6"/>
        <v>0</v>
      </c>
      <c r="J40" s="476"/>
      <c r="K40" s="488"/>
      <c r="L40" s="479">
        <f t="shared" si="1"/>
        <v>0</v>
      </c>
      <c r="M40" s="488"/>
      <c r="N40" s="479">
        <f t="shared" si="3"/>
        <v>0</v>
      </c>
      <c r="O40" s="479">
        <f t="shared" si="4"/>
        <v>0</v>
      </c>
      <c r="P40" s="243"/>
    </row>
    <row r="41" spans="2:16" ht="12.5">
      <c r="B41" s="160" t="str">
        <f t="shared" si="5"/>
        <v/>
      </c>
      <c r="C41" s="473">
        <f>IF(D11="","-",+C40+1)</f>
        <v>2035</v>
      </c>
      <c r="D41" s="486">
        <f>IF(F40+SUM(E$17:E40)=D$10,F40,D$10-SUM(E$17:E40))</f>
        <v>667309.31490498642</v>
      </c>
      <c r="E41" s="485">
        <f>IF(+I14&lt;F40,I14,D41)</f>
        <v>32653.479534883718</v>
      </c>
      <c r="F41" s="486">
        <f t="shared" si="14"/>
        <v>634655.83537010266</v>
      </c>
      <c r="G41" s="487">
        <f t="shared" si="15"/>
        <v>107553.1489462563</v>
      </c>
      <c r="H41" s="456">
        <f t="shared" si="16"/>
        <v>107553.1489462563</v>
      </c>
      <c r="I41" s="476">
        <f t="shared" si="6"/>
        <v>0</v>
      </c>
      <c r="J41" s="476"/>
      <c r="K41" s="488"/>
      <c r="L41" s="479">
        <f t="shared" si="1"/>
        <v>0</v>
      </c>
      <c r="M41" s="488"/>
      <c r="N41" s="479">
        <f t="shared" si="3"/>
        <v>0</v>
      </c>
      <c r="O41" s="479">
        <f t="shared" si="4"/>
        <v>0</v>
      </c>
      <c r="P41" s="243"/>
    </row>
    <row r="42" spans="2:16" ht="12.5">
      <c r="B42" s="160" t="str">
        <f t="shared" si="5"/>
        <v/>
      </c>
      <c r="C42" s="473">
        <f>IF(D11="","-",+C41+1)</f>
        <v>2036</v>
      </c>
      <c r="D42" s="486">
        <f>IF(F41+SUM(E$17:E41)=D$10,F41,D$10-SUM(E$17:E41))</f>
        <v>634655.83537010266</v>
      </c>
      <c r="E42" s="485">
        <f>IF(+I14&lt;F41,I14,D42)</f>
        <v>32653.479534883718</v>
      </c>
      <c r="F42" s="486">
        <f t="shared" si="14"/>
        <v>602002.35583521891</v>
      </c>
      <c r="G42" s="487">
        <f t="shared" si="15"/>
        <v>103796.15925758904</v>
      </c>
      <c r="H42" s="456">
        <f t="shared" si="16"/>
        <v>103796.15925758904</v>
      </c>
      <c r="I42" s="476">
        <f t="shared" si="6"/>
        <v>0</v>
      </c>
      <c r="J42" s="476"/>
      <c r="K42" s="488"/>
      <c r="L42" s="479">
        <f t="shared" si="1"/>
        <v>0</v>
      </c>
      <c r="M42" s="488"/>
      <c r="N42" s="479">
        <f t="shared" si="3"/>
        <v>0</v>
      </c>
      <c r="O42" s="479">
        <f t="shared" si="4"/>
        <v>0</v>
      </c>
      <c r="P42" s="243"/>
    </row>
    <row r="43" spans="2:16" ht="12.5">
      <c r="B43" s="160" t="str">
        <f t="shared" si="5"/>
        <v/>
      </c>
      <c r="C43" s="473">
        <f>IF(D11="","-",+C42+1)</f>
        <v>2037</v>
      </c>
      <c r="D43" s="486">
        <f>IF(F42+SUM(E$17:E42)=D$10,F42,D$10-SUM(E$17:E42))</f>
        <v>602002.35583521891</v>
      </c>
      <c r="E43" s="485">
        <f>IF(+I14&lt;F42,I14,D43)</f>
        <v>32653.479534883718</v>
      </c>
      <c r="F43" s="486">
        <f t="shared" si="14"/>
        <v>569348.87630033516</v>
      </c>
      <c r="G43" s="487">
        <f t="shared" si="15"/>
        <v>100039.16956892179</v>
      </c>
      <c r="H43" s="456">
        <f t="shared" si="16"/>
        <v>100039.16956892179</v>
      </c>
      <c r="I43" s="476">
        <f t="shared" si="6"/>
        <v>0</v>
      </c>
      <c r="J43" s="476"/>
      <c r="K43" s="488"/>
      <c r="L43" s="479">
        <f t="shared" si="1"/>
        <v>0</v>
      </c>
      <c r="M43" s="488"/>
      <c r="N43" s="479">
        <f t="shared" si="3"/>
        <v>0</v>
      </c>
      <c r="O43" s="479">
        <f t="shared" si="4"/>
        <v>0</v>
      </c>
      <c r="P43" s="243"/>
    </row>
    <row r="44" spans="2:16" ht="12.5">
      <c r="B44" s="160" t="str">
        <f t="shared" si="5"/>
        <v/>
      </c>
      <c r="C44" s="473">
        <f>IF(D11="","-",+C43+1)</f>
        <v>2038</v>
      </c>
      <c r="D44" s="486">
        <f>IF(F43+SUM(E$17:E43)=D$10,F43,D$10-SUM(E$17:E43))</f>
        <v>569348.87630033516</v>
      </c>
      <c r="E44" s="485">
        <f>IF(+I14&lt;F43,I14,D44)</f>
        <v>32653.479534883718</v>
      </c>
      <c r="F44" s="486">
        <f t="shared" si="14"/>
        <v>536695.39676545141</v>
      </c>
      <c r="G44" s="487">
        <f t="shared" si="15"/>
        <v>96282.179880254524</v>
      </c>
      <c r="H44" s="456">
        <f t="shared" si="16"/>
        <v>96282.179880254524</v>
      </c>
      <c r="I44" s="476">
        <f t="shared" si="6"/>
        <v>0</v>
      </c>
      <c r="J44" s="476"/>
      <c r="K44" s="488"/>
      <c r="L44" s="479">
        <f t="shared" si="1"/>
        <v>0</v>
      </c>
      <c r="M44" s="488"/>
      <c r="N44" s="479">
        <f t="shared" si="3"/>
        <v>0</v>
      </c>
      <c r="O44" s="479">
        <f t="shared" si="4"/>
        <v>0</v>
      </c>
      <c r="P44" s="243"/>
    </row>
    <row r="45" spans="2:16" ht="12.5">
      <c r="B45" s="160" t="str">
        <f t="shared" si="5"/>
        <v/>
      </c>
      <c r="C45" s="473">
        <f>IF(D11="","-",+C44+1)</f>
        <v>2039</v>
      </c>
      <c r="D45" s="486">
        <f>IF(F44+SUM(E$17:E44)=D$10,F44,D$10-SUM(E$17:E44))</f>
        <v>536695.39676545141</v>
      </c>
      <c r="E45" s="485">
        <f>IF(+I14&lt;F44,I14,D45)</f>
        <v>32653.479534883718</v>
      </c>
      <c r="F45" s="486">
        <f t="shared" si="14"/>
        <v>504041.91723056772</v>
      </c>
      <c r="G45" s="487">
        <f t="shared" si="15"/>
        <v>92525.190191587259</v>
      </c>
      <c r="H45" s="456">
        <f t="shared" si="16"/>
        <v>92525.190191587259</v>
      </c>
      <c r="I45" s="476">
        <f t="shared" si="6"/>
        <v>0</v>
      </c>
      <c r="J45" s="476"/>
      <c r="K45" s="488"/>
      <c r="L45" s="479">
        <f t="shared" si="1"/>
        <v>0</v>
      </c>
      <c r="M45" s="488"/>
      <c r="N45" s="479">
        <f t="shared" si="3"/>
        <v>0</v>
      </c>
      <c r="O45" s="479">
        <f t="shared" si="4"/>
        <v>0</v>
      </c>
      <c r="P45" s="243"/>
    </row>
    <row r="46" spans="2:16" ht="12.5">
      <c r="B46" s="160" t="str">
        <f t="shared" si="5"/>
        <v/>
      </c>
      <c r="C46" s="473">
        <f>IF(D11="","-",+C45+1)</f>
        <v>2040</v>
      </c>
      <c r="D46" s="486">
        <f>IF(F45+SUM(E$17:E45)=D$10,F45,D$10-SUM(E$17:E45))</f>
        <v>504041.91723056772</v>
      </c>
      <c r="E46" s="485">
        <f>IF(+I14&lt;F45,I14,D46)</f>
        <v>32653.479534883718</v>
      </c>
      <c r="F46" s="486">
        <f t="shared" si="14"/>
        <v>471388.43769568403</v>
      </c>
      <c r="G46" s="487">
        <f t="shared" si="15"/>
        <v>88768.200502920023</v>
      </c>
      <c r="H46" s="456">
        <f t="shared" si="16"/>
        <v>88768.200502920023</v>
      </c>
      <c r="I46" s="476">
        <f t="shared" si="6"/>
        <v>0</v>
      </c>
      <c r="J46" s="476"/>
      <c r="K46" s="488"/>
      <c r="L46" s="479">
        <f t="shared" si="1"/>
        <v>0</v>
      </c>
      <c r="M46" s="488"/>
      <c r="N46" s="479">
        <f t="shared" si="3"/>
        <v>0</v>
      </c>
      <c r="O46" s="479">
        <f t="shared" si="4"/>
        <v>0</v>
      </c>
      <c r="P46" s="243"/>
    </row>
    <row r="47" spans="2:16" ht="12.5">
      <c r="B47" s="160" t="str">
        <f t="shared" si="5"/>
        <v/>
      </c>
      <c r="C47" s="473">
        <f>IF(D11="","-",+C46+1)</f>
        <v>2041</v>
      </c>
      <c r="D47" s="486">
        <f>IF(F46+SUM(E$17:E46)=D$10,F46,D$10-SUM(E$17:E46))</f>
        <v>471388.43769568403</v>
      </c>
      <c r="E47" s="485">
        <f>IF(+I14&lt;F46,I14,D47)</f>
        <v>32653.479534883718</v>
      </c>
      <c r="F47" s="486">
        <f t="shared" si="14"/>
        <v>438734.95816080034</v>
      </c>
      <c r="G47" s="487">
        <f t="shared" si="15"/>
        <v>85011.210814252758</v>
      </c>
      <c r="H47" s="456">
        <f t="shared" si="16"/>
        <v>85011.210814252758</v>
      </c>
      <c r="I47" s="476">
        <f t="shared" si="6"/>
        <v>0</v>
      </c>
      <c r="J47" s="476"/>
      <c r="K47" s="488"/>
      <c r="L47" s="479">
        <f t="shared" si="1"/>
        <v>0</v>
      </c>
      <c r="M47" s="488"/>
      <c r="N47" s="479">
        <f t="shared" si="3"/>
        <v>0</v>
      </c>
      <c r="O47" s="479">
        <f t="shared" si="4"/>
        <v>0</v>
      </c>
      <c r="P47" s="243"/>
    </row>
    <row r="48" spans="2:16" ht="12.5">
      <c r="B48" s="160" t="str">
        <f t="shared" si="5"/>
        <v/>
      </c>
      <c r="C48" s="473">
        <f>IF(D11="","-",+C47+1)</f>
        <v>2042</v>
      </c>
      <c r="D48" s="486">
        <f>IF(F47+SUM(E$17:E47)=D$10,F47,D$10-SUM(E$17:E47))</f>
        <v>438734.95816080034</v>
      </c>
      <c r="E48" s="485">
        <f>IF(+I14&lt;F47,I14,D48)</f>
        <v>32653.479534883718</v>
      </c>
      <c r="F48" s="486">
        <f t="shared" si="14"/>
        <v>406081.47862591664</v>
      </c>
      <c r="G48" s="487">
        <f t="shared" si="15"/>
        <v>81254.221125585522</v>
      </c>
      <c r="H48" s="456">
        <f t="shared" si="16"/>
        <v>81254.221125585522</v>
      </c>
      <c r="I48" s="476">
        <f t="shared" si="6"/>
        <v>0</v>
      </c>
      <c r="J48" s="476"/>
      <c r="K48" s="488"/>
      <c r="L48" s="479">
        <f t="shared" si="1"/>
        <v>0</v>
      </c>
      <c r="M48" s="488"/>
      <c r="N48" s="479">
        <f t="shared" si="3"/>
        <v>0</v>
      </c>
      <c r="O48" s="479">
        <f t="shared" si="4"/>
        <v>0</v>
      </c>
      <c r="P48" s="243"/>
    </row>
    <row r="49" spans="2:16" ht="12.5">
      <c r="B49" s="160" t="str">
        <f t="shared" si="5"/>
        <v/>
      </c>
      <c r="C49" s="473">
        <f>IF(D11="","-",+C48+1)</f>
        <v>2043</v>
      </c>
      <c r="D49" s="486">
        <f>IF(F48+SUM(E$17:E48)=D$10,F48,D$10-SUM(E$17:E48))</f>
        <v>406081.47862591664</v>
      </c>
      <c r="E49" s="485">
        <f>IF(+I14&lt;F48,I14,D49)</f>
        <v>32653.479534883718</v>
      </c>
      <c r="F49" s="486">
        <f t="shared" si="14"/>
        <v>373427.99909103295</v>
      </c>
      <c r="G49" s="487">
        <f t="shared" si="15"/>
        <v>77497.231436918257</v>
      </c>
      <c r="H49" s="456">
        <f t="shared" si="16"/>
        <v>77497.231436918257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ref="B50:B72" si="21">IF(D50=F49,"","IU")</f>
        <v/>
      </c>
      <c r="C50" s="473">
        <f>IF(D11="","-",+C49+1)</f>
        <v>2044</v>
      </c>
      <c r="D50" s="486">
        <f>IF(F49+SUM(E$17:E49)=D$10,F49,D$10-SUM(E$17:E49))</f>
        <v>373427.99909103295</v>
      </c>
      <c r="E50" s="485">
        <f>IF(+I14&lt;F49,I14,D50)</f>
        <v>32653.479534883718</v>
      </c>
      <c r="F50" s="486">
        <f t="shared" ref="F50:F72" si="22">+D50-E50</f>
        <v>340774.51955614926</v>
      </c>
      <c r="G50" s="487">
        <f t="shared" si="15"/>
        <v>73740.241748251021</v>
      </c>
      <c r="H50" s="456">
        <f t="shared" si="16"/>
        <v>73740.241748251021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21"/>
        <v/>
      </c>
      <c r="C51" s="473">
        <f>IF(D11="","-",+C50+1)</f>
        <v>2045</v>
      </c>
      <c r="D51" s="486">
        <f>IF(F50+SUM(E$17:E50)=D$10,F50,D$10-SUM(E$17:E50))</f>
        <v>340774.51955614926</v>
      </c>
      <c r="E51" s="485">
        <f>IF(+I14&lt;F50,I14,D51)</f>
        <v>32653.479534883718</v>
      </c>
      <c r="F51" s="486">
        <f t="shared" si="22"/>
        <v>308121.04002126557</v>
      </c>
      <c r="G51" s="487">
        <f t="shared" si="15"/>
        <v>69983.252059583756</v>
      </c>
      <c r="H51" s="456">
        <f t="shared" si="16"/>
        <v>69983.252059583756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21"/>
        <v/>
      </c>
      <c r="C52" s="473">
        <f>IF(D11="","-",+C51+1)</f>
        <v>2046</v>
      </c>
      <c r="D52" s="486">
        <f>IF(F51+SUM(E$17:E51)=D$10,F51,D$10-SUM(E$17:E51))</f>
        <v>308121.04002126557</v>
      </c>
      <c r="E52" s="485">
        <f>IF(+I14&lt;F51,I14,D52)</f>
        <v>32653.479534883718</v>
      </c>
      <c r="F52" s="486">
        <f t="shared" si="22"/>
        <v>275467.56048638187</v>
      </c>
      <c r="G52" s="487">
        <f t="shared" si="15"/>
        <v>66226.26237091652</v>
      </c>
      <c r="H52" s="456">
        <f t="shared" si="16"/>
        <v>66226.26237091652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21"/>
        <v/>
      </c>
      <c r="C53" s="473">
        <f>IF(D11="","-",+C52+1)</f>
        <v>2047</v>
      </c>
      <c r="D53" s="486">
        <f>IF(F52+SUM(E$17:E52)=D$10,F52,D$10-SUM(E$17:E52))</f>
        <v>275467.56048638187</v>
      </c>
      <c r="E53" s="485">
        <f>IF(+I14&lt;F52,I14,D53)</f>
        <v>32653.479534883718</v>
      </c>
      <c r="F53" s="486">
        <f t="shared" si="22"/>
        <v>242814.08095149815</v>
      </c>
      <c r="G53" s="487">
        <f t="shared" si="15"/>
        <v>62469.272682249255</v>
      </c>
      <c r="H53" s="456">
        <f t="shared" si="16"/>
        <v>62469.272682249255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21"/>
        <v/>
      </c>
      <c r="C54" s="473">
        <f>IF(D11="","-",+C53+1)</f>
        <v>2048</v>
      </c>
      <c r="D54" s="486">
        <f>IF(F53+SUM(E$17:E53)=D$10,F53,D$10-SUM(E$17:E53))</f>
        <v>242814.08095149815</v>
      </c>
      <c r="E54" s="485">
        <f>IF(+I14&lt;F53,I14,D54)</f>
        <v>32653.479534883718</v>
      </c>
      <c r="F54" s="486">
        <f t="shared" si="22"/>
        <v>210160.60141661443</v>
      </c>
      <c r="G54" s="487">
        <f t="shared" si="15"/>
        <v>58712.282993582005</v>
      </c>
      <c r="H54" s="456">
        <f t="shared" si="16"/>
        <v>58712.282993582005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21"/>
        <v/>
      </c>
      <c r="C55" s="473">
        <f>IF(D11="","-",+C54+1)</f>
        <v>2049</v>
      </c>
      <c r="D55" s="486">
        <f>IF(F54+SUM(E$17:E54)=D$10,F54,D$10-SUM(E$17:E54))</f>
        <v>210160.60141661443</v>
      </c>
      <c r="E55" s="485">
        <f>IF(+I14&lt;F54,I14,D55)</f>
        <v>32653.479534883718</v>
      </c>
      <c r="F55" s="486">
        <f t="shared" si="22"/>
        <v>177507.12188173071</v>
      </c>
      <c r="G55" s="487">
        <f t="shared" si="15"/>
        <v>54955.293304914754</v>
      </c>
      <c r="H55" s="456">
        <f t="shared" si="16"/>
        <v>54955.293304914754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21"/>
        <v/>
      </c>
      <c r="C56" s="473">
        <f>IF(D11="","-",+C55+1)</f>
        <v>2050</v>
      </c>
      <c r="D56" s="486">
        <f>IF(F55+SUM(E$17:E55)=D$10,F55,D$10-SUM(E$17:E55))</f>
        <v>177507.12188173071</v>
      </c>
      <c r="E56" s="485">
        <f>IF(+I14&lt;F55,I14,D56)</f>
        <v>32653.479534883718</v>
      </c>
      <c r="F56" s="486">
        <f t="shared" si="22"/>
        <v>144853.64234684699</v>
      </c>
      <c r="G56" s="487">
        <f t="shared" si="15"/>
        <v>51198.303616247504</v>
      </c>
      <c r="H56" s="456">
        <f t="shared" si="16"/>
        <v>51198.303616247504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21"/>
        <v/>
      </c>
      <c r="C57" s="473">
        <f>IF(D11="","-",+C56+1)</f>
        <v>2051</v>
      </c>
      <c r="D57" s="486">
        <f>IF(F56+SUM(E$17:E56)=D$10,F56,D$10-SUM(E$17:E56))</f>
        <v>144853.64234684699</v>
      </c>
      <c r="E57" s="485">
        <f>IF(+I14&lt;F56,I14,D57)</f>
        <v>32653.479534883718</v>
      </c>
      <c r="F57" s="486">
        <f t="shared" si="22"/>
        <v>112200.16281196327</v>
      </c>
      <c r="G57" s="487">
        <f t="shared" si="15"/>
        <v>47441.313927580246</v>
      </c>
      <c r="H57" s="456">
        <f t="shared" si="16"/>
        <v>47441.313927580246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21"/>
        <v/>
      </c>
      <c r="C58" s="473">
        <f>IF(D11="","-",+C57+1)</f>
        <v>2052</v>
      </c>
      <c r="D58" s="486">
        <f>IF(F57+SUM(E$17:E57)=D$10,F57,D$10-SUM(E$17:E57))</f>
        <v>112200.16281196327</v>
      </c>
      <c r="E58" s="485">
        <f>IF(+I14&lt;F57,I14,D58)</f>
        <v>32653.479534883718</v>
      </c>
      <c r="F58" s="486">
        <f t="shared" si="22"/>
        <v>79546.683277079544</v>
      </c>
      <c r="G58" s="487">
        <f t="shared" si="15"/>
        <v>43684.324238912988</v>
      </c>
      <c r="H58" s="456">
        <f t="shared" si="16"/>
        <v>43684.324238912988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21"/>
        <v/>
      </c>
      <c r="C59" s="473">
        <f>IF(D11="","-",+C58+1)</f>
        <v>2053</v>
      </c>
      <c r="D59" s="486">
        <f>IF(F58+SUM(E$17:E58)=D$10,F58,D$10-SUM(E$17:E58))</f>
        <v>79546.683277079544</v>
      </c>
      <c r="E59" s="485">
        <f>IF(+I14&lt;F58,I14,D59)</f>
        <v>32653.479534883718</v>
      </c>
      <c r="F59" s="486">
        <f t="shared" si="22"/>
        <v>46893.203742195823</v>
      </c>
      <c r="G59" s="487">
        <f t="shared" si="15"/>
        <v>39927.334550245738</v>
      </c>
      <c r="H59" s="456">
        <f t="shared" si="16"/>
        <v>39927.334550245738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21"/>
        <v/>
      </c>
      <c r="C60" s="473">
        <f>IF(D11="","-",+C59+1)</f>
        <v>2054</v>
      </c>
      <c r="D60" s="486">
        <f>IF(F59+SUM(E$17:E59)=D$10,F59,D$10-SUM(E$17:E59))</f>
        <v>46893.203742195823</v>
      </c>
      <c r="E60" s="485">
        <f>IF(+I14&lt;F59,I14,D60)</f>
        <v>32653.479534883718</v>
      </c>
      <c r="F60" s="486">
        <f t="shared" si="22"/>
        <v>14239.724207312105</v>
      </c>
      <c r="G60" s="487">
        <f t="shared" si="15"/>
        <v>36170.344861578487</v>
      </c>
      <c r="H60" s="456">
        <f t="shared" si="16"/>
        <v>36170.344861578487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21"/>
        <v/>
      </c>
      <c r="C61" s="473">
        <f>IF(D11="","-",+C60+1)</f>
        <v>2055</v>
      </c>
      <c r="D61" s="486">
        <f>IF(F60+SUM(E$17:E60)=D$10,F60,D$10-SUM(E$17:E60))</f>
        <v>14239.724207312105</v>
      </c>
      <c r="E61" s="485">
        <f>IF(+I14&lt;F60,I14,D61)</f>
        <v>14239.724207312105</v>
      </c>
      <c r="F61" s="486">
        <f t="shared" si="22"/>
        <v>0</v>
      </c>
      <c r="G61" s="487">
        <f t="shared" si="15"/>
        <v>15058.909448492675</v>
      </c>
      <c r="H61" s="456">
        <f t="shared" si="16"/>
        <v>15058.909448492675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21"/>
        <v/>
      </c>
      <c r="C62" s="473">
        <f>IF(D11="","-",+C61+1)</f>
        <v>2056</v>
      </c>
      <c r="D62" s="486">
        <f>IF(F61+SUM(E$17:E61)=D$10,F61,D$10-SUM(E$17:E61))</f>
        <v>0</v>
      </c>
      <c r="E62" s="485">
        <f>IF(+I14&lt;F61,I14,D62)</f>
        <v>0</v>
      </c>
      <c r="F62" s="486">
        <f t="shared" si="22"/>
        <v>0</v>
      </c>
      <c r="G62" s="487">
        <f t="shared" si="15"/>
        <v>0</v>
      </c>
      <c r="H62" s="456">
        <f t="shared" si="16"/>
        <v>0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21"/>
        <v/>
      </c>
      <c r="C63" s="473">
        <f>IF(D11="","-",+C62+1)</f>
        <v>2057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22"/>
        <v>0</v>
      </c>
      <c r="G63" s="487">
        <f t="shared" si="15"/>
        <v>0</v>
      </c>
      <c r="H63" s="456">
        <f t="shared" si="16"/>
        <v>0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21"/>
        <v/>
      </c>
      <c r="C64" s="473">
        <f>IF(D11="","-",+C63+1)</f>
        <v>2058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22"/>
        <v>0</v>
      </c>
      <c r="G64" s="487">
        <f t="shared" si="15"/>
        <v>0</v>
      </c>
      <c r="H64" s="456">
        <f t="shared" si="16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21"/>
        <v/>
      </c>
      <c r="C65" s="473">
        <f>IF(D11="","-",+C64+1)</f>
        <v>2059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22"/>
        <v>0</v>
      </c>
      <c r="G65" s="487">
        <f t="shared" si="15"/>
        <v>0</v>
      </c>
      <c r="H65" s="456">
        <f t="shared" si="16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21"/>
        <v/>
      </c>
      <c r="C66" s="473">
        <f>IF(D11="","-",+C65+1)</f>
        <v>2060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22"/>
        <v>0</v>
      </c>
      <c r="G66" s="487">
        <f t="shared" si="15"/>
        <v>0</v>
      </c>
      <c r="H66" s="456">
        <f t="shared" si="16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21"/>
        <v/>
      </c>
      <c r="C67" s="473">
        <f>IF(D11="","-",+C66+1)</f>
        <v>2061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22"/>
        <v>0</v>
      </c>
      <c r="G67" s="487">
        <f t="shared" si="15"/>
        <v>0</v>
      </c>
      <c r="H67" s="456">
        <f t="shared" si="16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21"/>
        <v/>
      </c>
      <c r="C68" s="473">
        <f>IF(D11="","-",+C67+1)</f>
        <v>2062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22"/>
        <v>0</v>
      </c>
      <c r="G68" s="487">
        <f t="shared" si="15"/>
        <v>0</v>
      </c>
      <c r="H68" s="456">
        <f t="shared" si="16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21"/>
        <v/>
      </c>
      <c r="C69" s="473">
        <f>IF(D11="","-",+C68+1)</f>
        <v>2063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22"/>
        <v>0</v>
      </c>
      <c r="G69" s="487">
        <f t="shared" si="15"/>
        <v>0</v>
      </c>
      <c r="H69" s="456">
        <f t="shared" si="16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21"/>
        <v/>
      </c>
      <c r="C70" s="473">
        <f>IF(D11="","-",+C69+1)</f>
        <v>2064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22"/>
        <v>0</v>
      </c>
      <c r="G70" s="487">
        <f t="shared" si="15"/>
        <v>0</v>
      </c>
      <c r="H70" s="456">
        <f t="shared" si="16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21"/>
        <v/>
      </c>
      <c r="C71" s="473">
        <f>IF(D11="","-",+C70+1)</f>
        <v>2065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22"/>
        <v>0</v>
      </c>
      <c r="G71" s="487">
        <f t="shared" si="15"/>
        <v>0</v>
      </c>
      <c r="H71" s="456">
        <f t="shared" si="16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21"/>
        <v/>
      </c>
      <c r="C72" s="490">
        <f>IF(D11="","-",+C71+1)</f>
        <v>2066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22"/>
        <v>0</v>
      </c>
      <c r="G72" s="491">
        <f t="shared" si="15"/>
        <v>0</v>
      </c>
      <c r="H72" s="491">
        <f t="shared" si="16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1404099.6199999999</v>
      </c>
      <c r="F73" s="348"/>
      <c r="G73" s="348">
        <f>SUM(G17:G72)</f>
        <v>5396858.6027717171</v>
      </c>
      <c r="H73" s="348">
        <f>SUM(H17:H72)</f>
        <v>5396858.6027717171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11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156683.13262286683</v>
      </c>
      <c r="N87" s="509">
        <f>IF(J92&lt;D11,0,VLOOKUP(J92,C17:O72,11))</f>
        <v>156683.13262286683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163464.31672839285</v>
      </c>
      <c r="N88" s="513">
        <f>IF(J92&lt;D11,0,VLOOKUP(J92,C99:P154,7))</f>
        <v>163464.31672839285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Bartlesville SE to Coffeyville T Rebuild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6781.1841055260156</v>
      </c>
      <c r="N89" s="518">
        <f>+N88-N87</f>
        <v>6781.1841055260156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TP2008079-PSO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D10</f>
        <v>1404099.6199999999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2011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32653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2011</v>
      </c>
      <c r="D99" s="474">
        <v>0</v>
      </c>
      <c r="E99" s="481">
        <v>13815</v>
      </c>
      <c r="F99" s="574">
        <v>1422922</v>
      </c>
      <c r="G99" s="538">
        <v>711461</v>
      </c>
      <c r="H99" s="540">
        <v>113286.80836539247</v>
      </c>
      <c r="I99" s="540">
        <v>113286.80836539247</v>
      </c>
      <c r="J99" s="479">
        <f t="shared" ref="J99:J130" si="23">+I99-H99</f>
        <v>0</v>
      </c>
      <c r="K99" s="575"/>
      <c r="L99" s="568">
        <f t="shared" ref="L99:L104" si="24">H99</f>
        <v>113286.80836539247</v>
      </c>
      <c r="M99" s="576">
        <f t="shared" ref="M99:M130" si="25">IF(L99&lt;&gt;0,+H99-L99,0)</f>
        <v>0</v>
      </c>
      <c r="N99" s="568">
        <f t="shared" ref="N99:N104" si="26">I99</f>
        <v>113286.80836539247</v>
      </c>
      <c r="O99" s="478">
        <f t="shared" ref="O99:O130" si="27">IF(N99&lt;&gt;0,+I99-N99,0)</f>
        <v>0</v>
      </c>
      <c r="P99" s="349">
        <f t="shared" ref="P99:P130" si="28">+O99-M99</f>
        <v>0</v>
      </c>
    </row>
    <row r="100" spans="1:16" ht="12.5">
      <c r="B100" s="160" t="str">
        <f t="shared" ref="B100:B131" si="29">IF(D100=F99,"","IU")</f>
        <v>IU</v>
      </c>
      <c r="C100" s="473">
        <f>IF(D93="","-",+C99+1)</f>
        <v>2012</v>
      </c>
      <c r="D100" s="474">
        <v>1479908</v>
      </c>
      <c r="E100" s="481">
        <v>28725</v>
      </c>
      <c r="F100" s="574">
        <v>1451183</v>
      </c>
      <c r="G100" s="480">
        <v>1465545.5</v>
      </c>
      <c r="H100" s="540">
        <v>239551.75399863988</v>
      </c>
      <c r="I100" s="540">
        <v>239551.75399863988</v>
      </c>
      <c r="J100" s="479">
        <v>0</v>
      </c>
      <c r="K100" s="575"/>
      <c r="L100" s="541">
        <f t="shared" si="24"/>
        <v>239551.75399863988</v>
      </c>
      <c r="M100" s="576">
        <f t="shared" ref="M100:M105" si="30">IF(L100&lt;&gt;0,+H100-L100,0)</f>
        <v>0</v>
      </c>
      <c r="N100" s="541">
        <f t="shared" si="26"/>
        <v>239551.75399863988</v>
      </c>
      <c r="O100" s="479">
        <f t="shared" ref="O100:O105" si="31">IF(N100&lt;&gt;0,+I100-N100,0)</f>
        <v>0</v>
      </c>
      <c r="P100" s="349">
        <f t="shared" ref="P100:P105" si="32">+O100-M100</f>
        <v>0</v>
      </c>
    </row>
    <row r="101" spans="1:16" ht="12.5">
      <c r="B101" s="160" t="str">
        <f t="shared" si="29"/>
        <v/>
      </c>
      <c r="C101" s="473">
        <f>IF(D93="","-",+C100+1)</f>
        <v>2013</v>
      </c>
      <c r="D101" s="474">
        <v>1451183</v>
      </c>
      <c r="E101" s="481">
        <v>28725</v>
      </c>
      <c r="F101" s="574">
        <v>1422458</v>
      </c>
      <c r="G101" s="480">
        <v>1436820.5</v>
      </c>
      <c r="H101" s="540">
        <v>235540.35933406017</v>
      </c>
      <c r="I101" s="540">
        <v>235540.35933406017</v>
      </c>
      <c r="J101" s="479">
        <v>0</v>
      </c>
      <c r="K101" s="575"/>
      <c r="L101" s="541">
        <f t="shared" si="24"/>
        <v>235540.35933406017</v>
      </c>
      <c r="M101" s="576">
        <f t="shared" si="30"/>
        <v>0</v>
      </c>
      <c r="N101" s="541">
        <f t="shared" si="26"/>
        <v>235540.35933406017</v>
      </c>
      <c r="O101" s="479">
        <f t="shared" si="31"/>
        <v>0</v>
      </c>
      <c r="P101" s="349">
        <f t="shared" si="32"/>
        <v>0</v>
      </c>
    </row>
    <row r="102" spans="1:16" ht="12.5">
      <c r="B102" s="160" t="str">
        <f t="shared" si="29"/>
        <v>IU</v>
      </c>
      <c r="C102" s="473">
        <f>IF(D93="","-",+C101+1)</f>
        <v>2014</v>
      </c>
      <c r="D102" s="474">
        <v>1332834.6199999999</v>
      </c>
      <c r="E102" s="481">
        <v>27002</v>
      </c>
      <c r="F102" s="574">
        <v>1305832.6199999999</v>
      </c>
      <c r="G102" s="480">
        <v>1319333.6199999999</v>
      </c>
      <c r="H102" s="540">
        <v>212494.91385632072</v>
      </c>
      <c r="I102" s="540">
        <v>212494.91385632072</v>
      </c>
      <c r="J102" s="479">
        <v>0</v>
      </c>
      <c r="K102" s="575"/>
      <c r="L102" s="541">
        <f t="shared" si="24"/>
        <v>212494.91385632072</v>
      </c>
      <c r="M102" s="576">
        <f t="shared" si="30"/>
        <v>0</v>
      </c>
      <c r="N102" s="541">
        <f t="shared" si="26"/>
        <v>212494.91385632072</v>
      </c>
      <c r="O102" s="479">
        <f t="shared" si="31"/>
        <v>0</v>
      </c>
      <c r="P102" s="349">
        <f t="shared" si="32"/>
        <v>0</v>
      </c>
    </row>
    <row r="103" spans="1:16" ht="12.5">
      <c r="B103" s="160" t="str">
        <f t="shared" si="29"/>
        <v/>
      </c>
      <c r="C103" s="473">
        <f>IF(D93="","-",+C102+1)</f>
        <v>2015</v>
      </c>
      <c r="D103" s="474">
        <v>1305832.6199999999</v>
      </c>
      <c r="E103" s="481">
        <v>27002</v>
      </c>
      <c r="F103" s="574">
        <v>1278830.6199999999</v>
      </c>
      <c r="G103" s="480">
        <v>1292331.6199999999</v>
      </c>
      <c r="H103" s="540">
        <v>203330.25869072074</v>
      </c>
      <c r="I103" s="540">
        <v>203330.25869072074</v>
      </c>
      <c r="J103" s="479">
        <f t="shared" si="23"/>
        <v>0</v>
      </c>
      <c r="K103" s="575"/>
      <c r="L103" s="541">
        <f t="shared" si="24"/>
        <v>203330.25869072074</v>
      </c>
      <c r="M103" s="576">
        <f t="shared" si="30"/>
        <v>0</v>
      </c>
      <c r="N103" s="541">
        <f t="shared" si="26"/>
        <v>203330.25869072074</v>
      </c>
      <c r="O103" s="479">
        <f t="shared" si="31"/>
        <v>0</v>
      </c>
      <c r="P103" s="349">
        <f t="shared" si="32"/>
        <v>0</v>
      </c>
    </row>
    <row r="104" spans="1:16" ht="12.5">
      <c r="B104" s="160" t="str">
        <f t="shared" si="29"/>
        <v/>
      </c>
      <c r="C104" s="473">
        <f>IF(D93="","-",+C103+1)</f>
        <v>2016</v>
      </c>
      <c r="D104" s="474">
        <v>1278830.6199999999</v>
      </c>
      <c r="E104" s="481">
        <v>30524</v>
      </c>
      <c r="F104" s="574">
        <v>1248306.6199999999</v>
      </c>
      <c r="G104" s="480">
        <v>1263568.6199999999</v>
      </c>
      <c r="H104" s="540">
        <v>193417.89490142919</v>
      </c>
      <c r="I104" s="540">
        <v>193417.89490142919</v>
      </c>
      <c r="J104" s="479">
        <f t="shared" si="23"/>
        <v>0</v>
      </c>
      <c r="K104" s="479"/>
      <c r="L104" s="541">
        <f t="shared" si="24"/>
        <v>193417.89490142919</v>
      </c>
      <c r="M104" s="576">
        <f t="shared" si="30"/>
        <v>0</v>
      </c>
      <c r="N104" s="541">
        <f t="shared" si="26"/>
        <v>193417.89490142919</v>
      </c>
      <c r="O104" s="479">
        <f t="shared" si="31"/>
        <v>0</v>
      </c>
      <c r="P104" s="349">
        <f t="shared" si="32"/>
        <v>0</v>
      </c>
    </row>
    <row r="105" spans="1:16" ht="12.5">
      <c r="B105" s="160" t="str">
        <f t="shared" si="29"/>
        <v/>
      </c>
      <c r="C105" s="473">
        <f>IF(D93="","-",+C104+1)</f>
        <v>2017</v>
      </c>
      <c r="D105" s="474">
        <v>1248306.6199999999</v>
      </c>
      <c r="E105" s="481">
        <v>30524</v>
      </c>
      <c r="F105" s="574">
        <v>1217782.6199999999</v>
      </c>
      <c r="G105" s="480">
        <v>1233044.6199999999</v>
      </c>
      <c r="H105" s="540">
        <v>186938.81917011391</v>
      </c>
      <c r="I105" s="540">
        <v>186938.81917011391</v>
      </c>
      <c r="J105" s="479">
        <f t="shared" si="23"/>
        <v>0</v>
      </c>
      <c r="K105" s="479"/>
      <c r="L105" s="541">
        <f>H105</f>
        <v>186938.81917011391</v>
      </c>
      <c r="M105" s="576">
        <f t="shared" si="30"/>
        <v>0</v>
      </c>
      <c r="N105" s="541">
        <f>I105</f>
        <v>186938.81917011391</v>
      </c>
      <c r="O105" s="479">
        <f t="shared" si="31"/>
        <v>0</v>
      </c>
      <c r="P105" s="349">
        <f t="shared" si="32"/>
        <v>0</v>
      </c>
    </row>
    <row r="106" spans="1:16" ht="12.5">
      <c r="B106" s="160" t="str">
        <f t="shared" si="29"/>
        <v/>
      </c>
      <c r="C106" s="473">
        <f>IF(D93="","-",+C105+1)</f>
        <v>2018</v>
      </c>
      <c r="D106" s="474">
        <v>1217782.6199999999</v>
      </c>
      <c r="E106" s="481">
        <v>32653</v>
      </c>
      <c r="F106" s="574">
        <v>1185129.6199999999</v>
      </c>
      <c r="G106" s="480">
        <v>1201456.1199999999</v>
      </c>
      <c r="H106" s="540">
        <v>156085.27550586959</v>
      </c>
      <c r="I106" s="540">
        <v>156085.27550586959</v>
      </c>
      <c r="J106" s="479">
        <f t="shared" si="23"/>
        <v>0</v>
      </c>
      <c r="K106" s="479"/>
      <c r="L106" s="541">
        <f>H106</f>
        <v>156085.27550586959</v>
      </c>
      <c r="M106" s="576">
        <f t="shared" ref="M106" si="33">IF(L106&lt;&gt;0,+H106-L106,0)</f>
        <v>0</v>
      </c>
      <c r="N106" s="541">
        <f>I106</f>
        <v>156085.27550586959</v>
      </c>
      <c r="O106" s="479">
        <f t="shared" ref="O106" si="34">IF(N106&lt;&gt;0,+I106-N106,0)</f>
        <v>0</v>
      </c>
      <c r="P106" s="349">
        <f t="shared" ref="P106" si="35">+O106-M106</f>
        <v>0</v>
      </c>
    </row>
    <row r="107" spans="1:16" ht="12.5">
      <c r="B107" s="160" t="str">
        <f t="shared" si="29"/>
        <v/>
      </c>
      <c r="C107" s="473">
        <f>IF(D93="","-",+C106+1)</f>
        <v>2019</v>
      </c>
      <c r="D107" s="474">
        <v>1185129.6199999999</v>
      </c>
      <c r="E107" s="481">
        <v>34246</v>
      </c>
      <c r="F107" s="574">
        <v>1150883.6199999999</v>
      </c>
      <c r="G107" s="480">
        <v>1168006.6199999999</v>
      </c>
      <c r="H107" s="540">
        <v>154683.86507702887</v>
      </c>
      <c r="I107" s="540">
        <v>154683.86507702887</v>
      </c>
      <c r="J107" s="479">
        <f t="shared" si="23"/>
        <v>0</v>
      </c>
      <c r="K107" s="479"/>
      <c r="L107" s="541">
        <f>H107</f>
        <v>154683.86507702887</v>
      </c>
      <c r="M107" s="576">
        <f t="shared" ref="M107" si="36">IF(L107&lt;&gt;0,+H107-L107,0)</f>
        <v>0</v>
      </c>
      <c r="N107" s="541">
        <f>I107</f>
        <v>154683.86507702887</v>
      </c>
      <c r="O107" s="479">
        <f t="shared" si="27"/>
        <v>0</v>
      </c>
      <c r="P107" s="476">
        <f t="shared" si="28"/>
        <v>0</v>
      </c>
    </row>
    <row r="108" spans="1:16" ht="12.5">
      <c r="B108" s="160" t="str">
        <f t="shared" si="29"/>
        <v/>
      </c>
      <c r="C108" s="473">
        <f>IF(D93="","-",+C107+1)</f>
        <v>2020</v>
      </c>
      <c r="D108" s="347">
        <f>IF(F107+SUM(E$99:E107)=D$92,F107,D$92-SUM(E$99:E107))</f>
        <v>1150883.6199999999</v>
      </c>
      <c r="E108" s="487">
        <f>IF(+J96&lt;F107,J96,D108)</f>
        <v>32653</v>
      </c>
      <c r="F108" s="486">
        <f t="shared" ref="F108:F130" si="37">+D108-E108</f>
        <v>1118230.6199999999</v>
      </c>
      <c r="G108" s="486">
        <f t="shared" ref="G108:G130" si="38">+(F108+D108)/2</f>
        <v>1134557.1199999999</v>
      </c>
      <c r="H108" s="487">
        <f>(D108+F108)/2*J$94+E108</f>
        <v>163464.31672839285</v>
      </c>
      <c r="I108" s="543">
        <f t="shared" ref="I108" si="39">+J$95*G108+E108</f>
        <v>163464.31672839285</v>
      </c>
      <c r="J108" s="479">
        <f t="shared" si="23"/>
        <v>0</v>
      </c>
      <c r="K108" s="479"/>
      <c r="L108" s="488"/>
      <c r="M108" s="479">
        <f t="shared" si="25"/>
        <v>0</v>
      </c>
      <c r="N108" s="488"/>
      <c r="O108" s="479">
        <f t="shared" si="27"/>
        <v>0</v>
      </c>
      <c r="P108" s="476">
        <f t="shared" si="28"/>
        <v>0</v>
      </c>
    </row>
    <row r="109" spans="1:16" ht="12.5">
      <c r="B109" s="160" t="str">
        <f t="shared" si="29"/>
        <v/>
      </c>
      <c r="C109" s="473">
        <f>IF(D93="","-",+C108+1)</f>
        <v>2021</v>
      </c>
      <c r="D109" s="347">
        <f>IF(F108+SUM(E$99:E108)=D$92,F108,D$92-SUM(E$99:E108))</f>
        <v>1118230.6199999999</v>
      </c>
      <c r="E109" s="487">
        <f>IF(+J96&lt;F108,J96,D109)</f>
        <v>32653</v>
      </c>
      <c r="F109" s="486">
        <f t="shared" si="37"/>
        <v>1085577.6199999999</v>
      </c>
      <c r="G109" s="486">
        <f t="shared" si="38"/>
        <v>1101904.1199999999</v>
      </c>
      <c r="H109" s="487">
        <f t="shared" ref="H109:H153" si="40">(D109+F109)/2*J$94+E109</f>
        <v>159699.51560041419</v>
      </c>
      <c r="I109" s="543">
        <f t="shared" ref="I109:I153" si="41">+J$95*G109+E109</f>
        <v>159699.51560041419</v>
      </c>
      <c r="J109" s="479">
        <f t="shared" si="23"/>
        <v>0</v>
      </c>
      <c r="K109" s="479"/>
      <c r="L109" s="488"/>
      <c r="M109" s="479">
        <f t="shared" si="25"/>
        <v>0</v>
      </c>
      <c r="N109" s="488"/>
      <c r="O109" s="479">
        <f t="shared" si="27"/>
        <v>0</v>
      </c>
      <c r="P109" s="479">
        <f t="shared" si="28"/>
        <v>0</v>
      </c>
    </row>
    <row r="110" spans="1:16" ht="12.5">
      <c r="B110" s="160" t="str">
        <f t="shared" si="29"/>
        <v/>
      </c>
      <c r="C110" s="473">
        <f>IF(D93="","-",+C109+1)</f>
        <v>2022</v>
      </c>
      <c r="D110" s="347">
        <f>IF(F109+SUM(E$99:E109)=D$92,F109,D$92-SUM(E$99:E109))</f>
        <v>1085577.6199999999</v>
      </c>
      <c r="E110" s="487">
        <f>IF(+J96&lt;F109,J96,D110)</f>
        <v>32653</v>
      </c>
      <c r="F110" s="486">
        <f t="shared" si="37"/>
        <v>1052924.6199999999</v>
      </c>
      <c r="G110" s="486">
        <f t="shared" si="38"/>
        <v>1069251.1199999999</v>
      </c>
      <c r="H110" s="487">
        <f t="shared" si="40"/>
        <v>155934.71447243553</v>
      </c>
      <c r="I110" s="543">
        <f t="shared" si="41"/>
        <v>155934.71447243553</v>
      </c>
      <c r="J110" s="479">
        <f t="shared" si="23"/>
        <v>0</v>
      </c>
      <c r="K110" s="479"/>
      <c r="L110" s="488"/>
      <c r="M110" s="479">
        <f t="shared" si="25"/>
        <v>0</v>
      </c>
      <c r="N110" s="488"/>
      <c r="O110" s="479">
        <f t="shared" si="27"/>
        <v>0</v>
      </c>
      <c r="P110" s="479">
        <f t="shared" si="28"/>
        <v>0</v>
      </c>
    </row>
    <row r="111" spans="1:16" ht="12.5">
      <c r="B111" s="160" t="str">
        <f t="shared" si="29"/>
        <v/>
      </c>
      <c r="C111" s="473">
        <f>IF(D93="","-",+C110+1)</f>
        <v>2023</v>
      </c>
      <c r="D111" s="347">
        <f>IF(F110+SUM(E$99:E110)=D$92,F110,D$92-SUM(E$99:E110))</f>
        <v>1052924.6199999999</v>
      </c>
      <c r="E111" s="487">
        <f>IF(+J96&lt;F110,J96,D111)</f>
        <v>32653</v>
      </c>
      <c r="F111" s="486">
        <f t="shared" si="37"/>
        <v>1020271.6199999999</v>
      </c>
      <c r="G111" s="486">
        <f t="shared" si="38"/>
        <v>1036598.1199999999</v>
      </c>
      <c r="H111" s="487">
        <f t="shared" si="40"/>
        <v>152169.91334445687</v>
      </c>
      <c r="I111" s="543">
        <f t="shared" si="41"/>
        <v>152169.91334445687</v>
      </c>
      <c r="J111" s="479">
        <f t="shared" si="23"/>
        <v>0</v>
      </c>
      <c r="K111" s="479"/>
      <c r="L111" s="488"/>
      <c r="M111" s="479">
        <f t="shared" si="25"/>
        <v>0</v>
      </c>
      <c r="N111" s="488"/>
      <c r="O111" s="479">
        <f t="shared" si="27"/>
        <v>0</v>
      </c>
      <c r="P111" s="479">
        <f t="shared" si="28"/>
        <v>0</v>
      </c>
    </row>
    <row r="112" spans="1:16" ht="12.5">
      <c r="B112" s="160" t="str">
        <f t="shared" si="29"/>
        <v/>
      </c>
      <c r="C112" s="473">
        <f>IF(D93="","-",+C111+1)</f>
        <v>2024</v>
      </c>
      <c r="D112" s="347">
        <f>IF(F111+SUM(E$99:E111)=D$92,F111,D$92-SUM(E$99:E111))</f>
        <v>1020271.6199999999</v>
      </c>
      <c r="E112" s="487">
        <f>IF(+J96&lt;F111,J96,D112)</f>
        <v>32653</v>
      </c>
      <c r="F112" s="486">
        <f t="shared" si="37"/>
        <v>987618.61999999988</v>
      </c>
      <c r="G112" s="486">
        <f t="shared" si="38"/>
        <v>1003945.1199999999</v>
      </c>
      <c r="H112" s="487">
        <f t="shared" si="40"/>
        <v>148405.11221647821</v>
      </c>
      <c r="I112" s="543">
        <f t="shared" si="41"/>
        <v>148405.11221647821</v>
      </c>
      <c r="J112" s="479">
        <f t="shared" si="23"/>
        <v>0</v>
      </c>
      <c r="K112" s="479"/>
      <c r="L112" s="488"/>
      <c r="M112" s="479">
        <f t="shared" si="25"/>
        <v>0</v>
      </c>
      <c r="N112" s="488"/>
      <c r="O112" s="479">
        <f t="shared" si="27"/>
        <v>0</v>
      </c>
      <c r="P112" s="479">
        <f t="shared" si="28"/>
        <v>0</v>
      </c>
    </row>
    <row r="113" spans="2:16" ht="12.5">
      <c r="B113" s="160" t="str">
        <f t="shared" si="29"/>
        <v/>
      </c>
      <c r="C113" s="473">
        <f>IF(D93="","-",+C112+1)</f>
        <v>2025</v>
      </c>
      <c r="D113" s="347">
        <f>IF(F112+SUM(E$99:E112)=D$92,F112,D$92-SUM(E$99:E112))</f>
        <v>987618.61999999988</v>
      </c>
      <c r="E113" s="487">
        <f>IF(+J96&lt;F112,J96,D113)</f>
        <v>32653</v>
      </c>
      <c r="F113" s="486">
        <f t="shared" si="37"/>
        <v>954965.61999999988</v>
      </c>
      <c r="G113" s="486">
        <f t="shared" si="38"/>
        <v>971292.11999999988</v>
      </c>
      <c r="H113" s="487">
        <f t="shared" si="40"/>
        <v>144640.31108849958</v>
      </c>
      <c r="I113" s="543">
        <f t="shared" si="41"/>
        <v>144640.31108849958</v>
      </c>
      <c r="J113" s="479">
        <f t="shared" si="23"/>
        <v>0</v>
      </c>
      <c r="K113" s="479"/>
      <c r="L113" s="488"/>
      <c r="M113" s="479">
        <f t="shared" si="25"/>
        <v>0</v>
      </c>
      <c r="N113" s="488"/>
      <c r="O113" s="479">
        <f t="shared" si="27"/>
        <v>0</v>
      </c>
      <c r="P113" s="479">
        <f t="shared" si="28"/>
        <v>0</v>
      </c>
    </row>
    <row r="114" spans="2:16" ht="12.5">
      <c r="B114" s="160" t="str">
        <f t="shared" si="29"/>
        <v/>
      </c>
      <c r="C114" s="473">
        <f>IF(D93="","-",+C113+1)</f>
        <v>2026</v>
      </c>
      <c r="D114" s="347">
        <f>IF(F113+SUM(E$99:E113)=D$92,F113,D$92-SUM(E$99:E113))</f>
        <v>954965.61999999988</v>
      </c>
      <c r="E114" s="487">
        <f>IF(+J96&lt;F113,J96,D114)</f>
        <v>32653</v>
      </c>
      <c r="F114" s="486">
        <f t="shared" si="37"/>
        <v>922312.61999999988</v>
      </c>
      <c r="G114" s="486">
        <f t="shared" si="38"/>
        <v>938639.11999999988</v>
      </c>
      <c r="H114" s="487">
        <f t="shared" si="40"/>
        <v>140875.50996052093</v>
      </c>
      <c r="I114" s="543">
        <f t="shared" si="41"/>
        <v>140875.50996052093</v>
      </c>
      <c r="J114" s="479">
        <f t="shared" si="23"/>
        <v>0</v>
      </c>
      <c r="K114" s="479"/>
      <c r="L114" s="488"/>
      <c r="M114" s="479">
        <f t="shared" si="25"/>
        <v>0</v>
      </c>
      <c r="N114" s="488"/>
      <c r="O114" s="479">
        <f t="shared" si="27"/>
        <v>0</v>
      </c>
      <c r="P114" s="479">
        <f t="shared" si="28"/>
        <v>0</v>
      </c>
    </row>
    <row r="115" spans="2:16" ht="12.5">
      <c r="B115" s="160" t="str">
        <f t="shared" si="29"/>
        <v/>
      </c>
      <c r="C115" s="473">
        <f>IF(D93="","-",+C114+1)</f>
        <v>2027</v>
      </c>
      <c r="D115" s="347">
        <f>IF(F114+SUM(E$99:E114)=D$92,F114,D$92-SUM(E$99:E114))</f>
        <v>922312.61999999988</v>
      </c>
      <c r="E115" s="487">
        <f>IF(+J96&lt;F114,J96,D115)</f>
        <v>32653</v>
      </c>
      <c r="F115" s="486">
        <f t="shared" si="37"/>
        <v>889659.61999999988</v>
      </c>
      <c r="G115" s="486">
        <f t="shared" si="38"/>
        <v>905986.11999999988</v>
      </c>
      <c r="H115" s="487">
        <f t="shared" si="40"/>
        <v>137110.7088325423</v>
      </c>
      <c r="I115" s="543">
        <f t="shared" si="41"/>
        <v>137110.7088325423</v>
      </c>
      <c r="J115" s="479">
        <f t="shared" si="23"/>
        <v>0</v>
      </c>
      <c r="K115" s="479"/>
      <c r="L115" s="488"/>
      <c r="M115" s="479">
        <f t="shared" si="25"/>
        <v>0</v>
      </c>
      <c r="N115" s="488"/>
      <c r="O115" s="479">
        <f t="shared" si="27"/>
        <v>0</v>
      </c>
      <c r="P115" s="479">
        <f t="shared" si="28"/>
        <v>0</v>
      </c>
    </row>
    <row r="116" spans="2:16" ht="12.5">
      <c r="B116" s="160" t="str">
        <f t="shared" si="29"/>
        <v/>
      </c>
      <c r="C116" s="473">
        <f>IF(D93="","-",+C115+1)</f>
        <v>2028</v>
      </c>
      <c r="D116" s="347">
        <f>IF(F115+SUM(E$99:E115)=D$92,F115,D$92-SUM(E$99:E115))</f>
        <v>889659.61999999988</v>
      </c>
      <c r="E116" s="487">
        <f>IF(+J96&lt;F115,J96,D116)</f>
        <v>32653</v>
      </c>
      <c r="F116" s="486">
        <f t="shared" si="37"/>
        <v>857006.61999999988</v>
      </c>
      <c r="G116" s="486">
        <f t="shared" si="38"/>
        <v>873333.11999999988</v>
      </c>
      <c r="H116" s="487">
        <f t="shared" si="40"/>
        <v>133345.90770456364</v>
      </c>
      <c r="I116" s="543">
        <f t="shared" si="41"/>
        <v>133345.90770456364</v>
      </c>
      <c r="J116" s="479">
        <f t="shared" si="23"/>
        <v>0</v>
      </c>
      <c r="K116" s="479"/>
      <c r="L116" s="488"/>
      <c r="M116" s="479">
        <f t="shared" si="25"/>
        <v>0</v>
      </c>
      <c r="N116" s="488"/>
      <c r="O116" s="479">
        <f t="shared" si="27"/>
        <v>0</v>
      </c>
      <c r="P116" s="479">
        <f t="shared" si="28"/>
        <v>0</v>
      </c>
    </row>
    <row r="117" spans="2:16" ht="12.5">
      <c r="B117" s="160" t="str">
        <f t="shared" si="29"/>
        <v/>
      </c>
      <c r="C117" s="473">
        <f>IF(D93="","-",+C116+1)</f>
        <v>2029</v>
      </c>
      <c r="D117" s="347">
        <f>IF(F116+SUM(E$99:E116)=D$92,F116,D$92-SUM(E$99:E116))</f>
        <v>857006.61999999988</v>
      </c>
      <c r="E117" s="487">
        <f>IF(+J96&lt;F116,J96,D117)</f>
        <v>32653</v>
      </c>
      <c r="F117" s="486">
        <f t="shared" si="37"/>
        <v>824353.61999999988</v>
      </c>
      <c r="G117" s="486">
        <f t="shared" si="38"/>
        <v>840680.11999999988</v>
      </c>
      <c r="H117" s="487">
        <f t="shared" si="40"/>
        <v>129581.10657658496</v>
      </c>
      <c r="I117" s="543">
        <f t="shared" si="41"/>
        <v>129581.10657658496</v>
      </c>
      <c r="J117" s="479">
        <f t="shared" si="23"/>
        <v>0</v>
      </c>
      <c r="K117" s="479"/>
      <c r="L117" s="488"/>
      <c r="M117" s="479">
        <f t="shared" si="25"/>
        <v>0</v>
      </c>
      <c r="N117" s="488"/>
      <c r="O117" s="479">
        <f t="shared" si="27"/>
        <v>0</v>
      </c>
      <c r="P117" s="479">
        <f t="shared" si="28"/>
        <v>0</v>
      </c>
    </row>
    <row r="118" spans="2:16" ht="12.5">
      <c r="B118" s="160" t="str">
        <f t="shared" si="29"/>
        <v/>
      </c>
      <c r="C118" s="473">
        <f>IF(D93="","-",+C117+1)</f>
        <v>2030</v>
      </c>
      <c r="D118" s="347">
        <f>IF(F117+SUM(E$99:E117)=D$92,F117,D$92-SUM(E$99:E117))</f>
        <v>824353.61999999988</v>
      </c>
      <c r="E118" s="487">
        <f>IF(+J96&lt;F117,J96,D118)</f>
        <v>32653</v>
      </c>
      <c r="F118" s="486">
        <f t="shared" si="37"/>
        <v>791700.61999999988</v>
      </c>
      <c r="G118" s="486">
        <f t="shared" si="38"/>
        <v>808027.11999999988</v>
      </c>
      <c r="H118" s="487">
        <f t="shared" si="40"/>
        <v>125816.30544860632</v>
      </c>
      <c r="I118" s="543">
        <f t="shared" si="41"/>
        <v>125816.30544860632</v>
      </c>
      <c r="J118" s="479">
        <f t="shared" si="23"/>
        <v>0</v>
      </c>
      <c r="K118" s="479"/>
      <c r="L118" s="488"/>
      <c r="M118" s="479">
        <f t="shared" si="25"/>
        <v>0</v>
      </c>
      <c r="N118" s="488"/>
      <c r="O118" s="479">
        <f t="shared" si="27"/>
        <v>0</v>
      </c>
      <c r="P118" s="479">
        <f t="shared" si="28"/>
        <v>0</v>
      </c>
    </row>
    <row r="119" spans="2:16" ht="12.5">
      <c r="B119" s="160" t="str">
        <f t="shared" si="29"/>
        <v/>
      </c>
      <c r="C119" s="473">
        <f>IF(D93="","-",+C118+1)</f>
        <v>2031</v>
      </c>
      <c r="D119" s="347">
        <f>IF(F118+SUM(E$99:E118)=D$92,F118,D$92-SUM(E$99:E118))</f>
        <v>791700.61999999988</v>
      </c>
      <c r="E119" s="487">
        <f>IF(+J96&lt;F118,J96,D119)</f>
        <v>32653</v>
      </c>
      <c r="F119" s="486">
        <f t="shared" si="37"/>
        <v>759047.61999999988</v>
      </c>
      <c r="G119" s="486">
        <f t="shared" si="38"/>
        <v>775374.11999999988</v>
      </c>
      <c r="H119" s="487">
        <f t="shared" si="40"/>
        <v>122051.50432062766</v>
      </c>
      <c r="I119" s="543">
        <f t="shared" si="41"/>
        <v>122051.50432062766</v>
      </c>
      <c r="J119" s="479">
        <f t="shared" si="23"/>
        <v>0</v>
      </c>
      <c r="K119" s="479"/>
      <c r="L119" s="488"/>
      <c r="M119" s="479">
        <f t="shared" si="25"/>
        <v>0</v>
      </c>
      <c r="N119" s="488"/>
      <c r="O119" s="479">
        <f t="shared" si="27"/>
        <v>0</v>
      </c>
      <c r="P119" s="479">
        <f t="shared" si="28"/>
        <v>0</v>
      </c>
    </row>
    <row r="120" spans="2:16" ht="12.5">
      <c r="B120" s="160" t="str">
        <f t="shared" si="29"/>
        <v/>
      </c>
      <c r="C120" s="473">
        <f>IF(D93="","-",+C119+1)</f>
        <v>2032</v>
      </c>
      <c r="D120" s="347">
        <f>IF(F119+SUM(E$99:E119)=D$92,F119,D$92-SUM(E$99:E119))</f>
        <v>759047.61999999988</v>
      </c>
      <c r="E120" s="487">
        <f>IF(+J96&lt;F119,J96,D120)</f>
        <v>32653</v>
      </c>
      <c r="F120" s="486">
        <f t="shared" si="37"/>
        <v>726394.61999999988</v>
      </c>
      <c r="G120" s="486">
        <f t="shared" si="38"/>
        <v>742721.11999999988</v>
      </c>
      <c r="H120" s="487">
        <f t="shared" si="40"/>
        <v>118286.70319264902</v>
      </c>
      <c r="I120" s="543">
        <f t="shared" si="41"/>
        <v>118286.70319264902</v>
      </c>
      <c r="J120" s="479">
        <f t="shared" si="23"/>
        <v>0</v>
      </c>
      <c r="K120" s="479"/>
      <c r="L120" s="488"/>
      <c r="M120" s="479">
        <f t="shared" si="25"/>
        <v>0</v>
      </c>
      <c r="N120" s="488"/>
      <c r="O120" s="479">
        <f t="shared" si="27"/>
        <v>0</v>
      </c>
      <c r="P120" s="479">
        <f t="shared" si="28"/>
        <v>0</v>
      </c>
    </row>
    <row r="121" spans="2:16" ht="12.5">
      <c r="B121" s="160" t="str">
        <f t="shared" si="29"/>
        <v/>
      </c>
      <c r="C121" s="473">
        <f>IF(D93="","-",+C120+1)</f>
        <v>2033</v>
      </c>
      <c r="D121" s="347">
        <f>IF(F120+SUM(E$99:E120)=D$92,F120,D$92-SUM(E$99:E120))</f>
        <v>726394.61999999988</v>
      </c>
      <c r="E121" s="487">
        <f>IF(+J96&lt;F120,J96,D121)</f>
        <v>32653</v>
      </c>
      <c r="F121" s="486">
        <f t="shared" si="37"/>
        <v>693741.61999999988</v>
      </c>
      <c r="G121" s="486">
        <f t="shared" si="38"/>
        <v>710068.11999999988</v>
      </c>
      <c r="H121" s="487">
        <f t="shared" si="40"/>
        <v>114521.90206467036</v>
      </c>
      <c r="I121" s="543">
        <f t="shared" si="41"/>
        <v>114521.90206467036</v>
      </c>
      <c r="J121" s="479">
        <f t="shared" si="23"/>
        <v>0</v>
      </c>
      <c r="K121" s="479"/>
      <c r="L121" s="488"/>
      <c r="M121" s="479">
        <f t="shared" si="25"/>
        <v>0</v>
      </c>
      <c r="N121" s="488"/>
      <c r="O121" s="479">
        <f t="shared" si="27"/>
        <v>0</v>
      </c>
      <c r="P121" s="479">
        <f t="shared" si="28"/>
        <v>0</v>
      </c>
    </row>
    <row r="122" spans="2:16" ht="12.5">
      <c r="B122" s="160" t="str">
        <f t="shared" si="29"/>
        <v/>
      </c>
      <c r="C122" s="473">
        <f>IF(D93="","-",+C121+1)</f>
        <v>2034</v>
      </c>
      <c r="D122" s="347">
        <f>IF(F121+SUM(E$99:E121)=D$92,F121,D$92-SUM(E$99:E121))</f>
        <v>693741.61999999988</v>
      </c>
      <c r="E122" s="487">
        <f>IF(+J96&lt;F121,J96,D122)</f>
        <v>32653</v>
      </c>
      <c r="F122" s="486">
        <f t="shared" si="37"/>
        <v>661088.61999999988</v>
      </c>
      <c r="G122" s="486">
        <f t="shared" si="38"/>
        <v>677415.11999999988</v>
      </c>
      <c r="H122" s="487">
        <f t="shared" si="40"/>
        <v>110757.1009366917</v>
      </c>
      <c r="I122" s="543">
        <f t="shared" si="41"/>
        <v>110757.1009366917</v>
      </c>
      <c r="J122" s="479">
        <f t="shared" si="23"/>
        <v>0</v>
      </c>
      <c r="K122" s="479"/>
      <c r="L122" s="488"/>
      <c r="M122" s="479">
        <f t="shared" si="25"/>
        <v>0</v>
      </c>
      <c r="N122" s="488"/>
      <c r="O122" s="479">
        <f t="shared" si="27"/>
        <v>0</v>
      </c>
      <c r="P122" s="479">
        <f t="shared" si="28"/>
        <v>0</v>
      </c>
    </row>
    <row r="123" spans="2:16" ht="12.5">
      <c r="B123" s="160" t="str">
        <f t="shared" si="29"/>
        <v/>
      </c>
      <c r="C123" s="473">
        <f>IF(D93="","-",+C122+1)</f>
        <v>2035</v>
      </c>
      <c r="D123" s="347">
        <f>IF(F122+SUM(E$99:E122)=D$92,F122,D$92-SUM(E$99:E122))</f>
        <v>661088.61999999988</v>
      </c>
      <c r="E123" s="487">
        <f>IF(+J96&lt;F122,J96,D123)</f>
        <v>32653</v>
      </c>
      <c r="F123" s="486">
        <f t="shared" si="37"/>
        <v>628435.61999999988</v>
      </c>
      <c r="G123" s="486">
        <f t="shared" si="38"/>
        <v>644762.11999999988</v>
      </c>
      <c r="H123" s="487">
        <f t="shared" si="40"/>
        <v>106992.29980871305</v>
      </c>
      <c r="I123" s="543">
        <f t="shared" si="41"/>
        <v>106992.29980871305</v>
      </c>
      <c r="J123" s="479">
        <f t="shared" si="23"/>
        <v>0</v>
      </c>
      <c r="K123" s="479"/>
      <c r="L123" s="488"/>
      <c r="M123" s="479">
        <f t="shared" si="25"/>
        <v>0</v>
      </c>
      <c r="N123" s="488"/>
      <c r="O123" s="479">
        <f t="shared" si="27"/>
        <v>0</v>
      </c>
      <c r="P123" s="479">
        <f t="shared" si="28"/>
        <v>0</v>
      </c>
    </row>
    <row r="124" spans="2:16" ht="12.5">
      <c r="B124" s="160" t="str">
        <f t="shared" si="29"/>
        <v/>
      </c>
      <c r="C124" s="473">
        <f>IF(D93="","-",+C123+1)</f>
        <v>2036</v>
      </c>
      <c r="D124" s="347">
        <f>IF(F123+SUM(E$99:E123)=D$92,F123,D$92-SUM(E$99:E123))</f>
        <v>628435.61999999988</v>
      </c>
      <c r="E124" s="487">
        <f>IF(+J96&lt;F123,J96,D124)</f>
        <v>32653</v>
      </c>
      <c r="F124" s="486">
        <f t="shared" si="37"/>
        <v>595782.61999999988</v>
      </c>
      <c r="G124" s="486">
        <f t="shared" si="38"/>
        <v>612109.11999999988</v>
      </c>
      <c r="H124" s="487">
        <f t="shared" si="40"/>
        <v>103227.4986807344</v>
      </c>
      <c r="I124" s="543">
        <f t="shared" si="41"/>
        <v>103227.4986807344</v>
      </c>
      <c r="J124" s="479">
        <f t="shared" si="23"/>
        <v>0</v>
      </c>
      <c r="K124" s="479"/>
      <c r="L124" s="488"/>
      <c r="M124" s="479">
        <f t="shared" si="25"/>
        <v>0</v>
      </c>
      <c r="N124" s="488"/>
      <c r="O124" s="479">
        <f t="shared" si="27"/>
        <v>0</v>
      </c>
      <c r="P124" s="479">
        <f t="shared" si="28"/>
        <v>0</v>
      </c>
    </row>
    <row r="125" spans="2:16" ht="12.5">
      <c r="B125" s="160" t="str">
        <f t="shared" si="29"/>
        <v/>
      </c>
      <c r="C125" s="473">
        <f>IF(D93="","-",+C124+1)</f>
        <v>2037</v>
      </c>
      <c r="D125" s="347">
        <f>IF(F124+SUM(E$99:E124)=D$92,F124,D$92-SUM(E$99:E124))</f>
        <v>595782.61999999988</v>
      </c>
      <c r="E125" s="487">
        <f>IF(+J96&lt;F124,J96,D125)</f>
        <v>32653</v>
      </c>
      <c r="F125" s="486">
        <f t="shared" si="37"/>
        <v>563129.61999999988</v>
      </c>
      <c r="G125" s="486">
        <f t="shared" si="38"/>
        <v>579456.11999999988</v>
      </c>
      <c r="H125" s="487">
        <f t="shared" si="40"/>
        <v>99462.697552755737</v>
      </c>
      <c r="I125" s="543">
        <f t="shared" si="41"/>
        <v>99462.697552755737</v>
      </c>
      <c r="J125" s="479">
        <f t="shared" si="23"/>
        <v>0</v>
      </c>
      <c r="K125" s="479"/>
      <c r="L125" s="488"/>
      <c r="M125" s="479">
        <f t="shared" si="25"/>
        <v>0</v>
      </c>
      <c r="N125" s="488"/>
      <c r="O125" s="479">
        <f t="shared" si="27"/>
        <v>0</v>
      </c>
      <c r="P125" s="479">
        <f t="shared" si="28"/>
        <v>0</v>
      </c>
    </row>
    <row r="126" spans="2:16" ht="12.5">
      <c r="B126" s="160" t="str">
        <f t="shared" si="29"/>
        <v/>
      </c>
      <c r="C126" s="473">
        <f>IF(D93="","-",+C125+1)</f>
        <v>2038</v>
      </c>
      <c r="D126" s="347">
        <f>IF(F125+SUM(E$99:E125)=D$92,F125,D$92-SUM(E$99:E125))</f>
        <v>563129.61999999988</v>
      </c>
      <c r="E126" s="487">
        <f>IF(+J96&lt;F125,J96,D126)</f>
        <v>32653</v>
      </c>
      <c r="F126" s="486">
        <f t="shared" si="37"/>
        <v>530476.61999999988</v>
      </c>
      <c r="G126" s="486">
        <f t="shared" si="38"/>
        <v>546803.11999999988</v>
      </c>
      <c r="H126" s="487">
        <f t="shared" si="40"/>
        <v>95697.896424777093</v>
      </c>
      <c r="I126" s="543">
        <f t="shared" si="41"/>
        <v>95697.896424777093</v>
      </c>
      <c r="J126" s="479">
        <f t="shared" si="23"/>
        <v>0</v>
      </c>
      <c r="K126" s="479"/>
      <c r="L126" s="488"/>
      <c r="M126" s="479">
        <f t="shared" si="25"/>
        <v>0</v>
      </c>
      <c r="N126" s="488"/>
      <c r="O126" s="479">
        <f t="shared" si="27"/>
        <v>0</v>
      </c>
      <c r="P126" s="479">
        <f t="shared" si="28"/>
        <v>0</v>
      </c>
    </row>
    <row r="127" spans="2:16" ht="12.5">
      <c r="B127" s="160" t="str">
        <f t="shared" si="29"/>
        <v/>
      </c>
      <c r="C127" s="473">
        <f>IF(D93="","-",+C126+1)</f>
        <v>2039</v>
      </c>
      <c r="D127" s="347">
        <f>IF(F126+SUM(E$99:E126)=D$92,F126,D$92-SUM(E$99:E126))</f>
        <v>530476.61999999988</v>
      </c>
      <c r="E127" s="487">
        <f>IF(+J96&lt;F126,J96,D127)</f>
        <v>32653</v>
      </c>
      <c r="F127" s="486">
        <f t="shared" si="37"/>
        <v>497823.61999999988</v>
      </c>
      <c r="G127" s="486">
        <f t="shared" si="38"/>
        <v>514150.11999999988</v>
      </c>
      <c r="H127" s="487">
        <f t="shared" si="40"/>
        <v>91933.095296798449</v>
      </c>
      <c r="I127" s="543">
        <f t="shared" si="41"/>
        <v>91933.095296798449</v>
      </c>
      <c r="J127" s="479">
        <f t="shared" si="23"/>
        <v>0</v>
      </c>
      <c r="K127" s="479"/>
      <c r="L127" s="488"/>
      <c r="M127" s="479">
        <f t="shared" si="25"/>
        <v>0</v>
      </c>
      <c r="N127" s="488"/>
      <c r="O127" s="479">
        <f t="shared" si="27"/>
        <v>0</v>
      </c>
      <c r="P127" s="479">
        <f t="shared" si="28"/>
        <v>0</v>
      </c>
    </row>
    <row r="128" spans="2:16" ht="12.5">
      <c r="B128" s="160" t="str">
        <f t="shared" si="29"/>
        <v/>
      </c>
      <c r="C128" s="473">
        <f>IF(D93="","-",+C127+1)</f>
        <v>2040</v>
      </c>
      <c r="D128" s="347">
        <f>IF(F127+SUM(E$99:E127)=D$92,F127,D$92-SUM(E$99:E127))</f>
        <v>497823.61999999988</v>
      </c>
      <c r="E128" s="487">
        <f>IF(+J96&lt;F127,J96,D128)</f>
        <v>32653</v>
      </c>
      <c r="F128" s="486">
        <f t="shared" si="37"/>
        <v>465170.61999999988</v>
      </c>
      <c r="G128" s="486">
        <f t="shared" si="38"/>
        <v>481497.11999999988</v>
      </c>
      <c r="H128" s="487">
        <f t="shared" si="40"/>
        <v>88168.29416881979</v>
      </c>
      <c r="I128" s="543">
        <f t="shared" si="41"/>
        <v>88168.29416881979</v>
      </c>
      <c r="J128" s="479">
        <f t="shared" si="23"/>
        <v>0</v>
      </c>
      <c r="K128" s="479"/>
      <c r="L128" s="488"/>
      <c r="M128" s="479">
        <f t="shared" si="25"/>
        <v>0</v>
      </c>
      <c r="N128" s="488"/>
      <c r="O128" s="479">
        <f t="shared" si="27"/>
        <v>0</v>
      </c>
      <c r="P128" s="479">
        <f t="shared" si="28"/>
        <v>0</v>
      </c>
    </row>
    <row r="129" spans="2:16" ht="12.5">
      <c r="B129" s="160" t="str">
        <f t="shared" si="29"/>
        <v/>
      </c>
      <c r="C129" s="473">
        <f>IF(D93="","-",+C128+1)</f>
        <v>2041</v>
      </c>
      <c r="D129" s="347">
        <f>IF(F128+SUM(E$99:E128)=D$92,F128,D$92-SUM(E$99:E128))</f>
        <v>465170.61999999988</v>
      </c>
      <c r="E129" s="487">
        <f t="shared" ref="E129:E154" si="42">IF(+J$96&lt;F128,J$96,D129)</f>
        <v>32653</v>
      </c>
      <c r="F129" s="486">
        <f t="shared" si="37"/>
        <v>432517.61999999988</v>
      </c>
      <c r="G129" s="486">
        <f t="shared" si="38"/>
        <v>448844.11999999988</v>
      </c>
      <c r="H129" s="487">
        <f t="shared" si="40"/>
        <v>84403.493040841131</v>
      </c>
      <c r="I129" s="543">
        <f t="shared" si="41"/>
        <v>84403.493040841131</v>
      </c>
      <c r="J129" s="479">
        <f t="shared" si="23"/>
        <v>0</v>
      </c>
      <c r="K129" s="479"/>
      <c r="L129" s="488"/>
      <c r="M129" s="479">
        <f t="shared" si="25"/>
        <v>0</v>
      </c>
      <c r="N129" s="488"/>
      <c r="O129" s="479">
        <f t="shared" si="27"/>
        <v>0</v>
      </c>
      <c r="P129" s="479">
        <f t="shared" si="28"/>
        <v>0</v>
      </c>
    </row>
    <row r="130" spans="2:16" ht="12.5">
      <c r="B130" s="160" t="str">
        <f t="shared" si="29"/>
        <v/>
      </c>
      <c r="C130" s="473">
        <f>IF(D93="","-",+C129+1)</f>
        <v>2042</v>
      </c>
      <c r="D130" s="347">
        <f>IF(F129+SUM(E$99:E129)=D$92,F129,D$92-SUM(E$99:E129))</f>
        <v>432517.61999999988</v>
      </c>
      <c r="E130" s="487">
        <f t="shared" si="42"/>
        <v>32653</v>
      </c>
      <c r="F130" s="486">
        <f t="shared" si="37"/>
        <v>399864.61999999988</v>
      </c>
      <c r="G130" s="486">
        <f t="shared" si="38"/>
        <v>416191.11999999988</v>
      </c>
      <c r="H130" s="487">
        <f t="shared" si="40"/>
        <v>80638.691912862472</v>
      </c>
      <c r="I130" s="543">
        <f t="shared" si="41"/>
        <v>80638.691912862472</v>
      </c>
      <c r="J130" s="479">
        <f t="shared" si="23"/>
        <v>0</v>
      </c>
      <c r="K130" s="479"/>
      <c r="L130" s="488"/>
      <c r="M130" s="479">
        <f t="shared" si="25"/>
        <v>0</v>
      </c>
      <c r="N130" s="488"/>
      <c r="O130" s="479">
        <f t="shared" si="27"/>
        <v>0</v>
      </c>
      <c r="P130" s="479">
        <f t="shared" si="28"/>
        <v>0</v>
      </c>
    </row>
    <row r="131" spans="2:16" ht="12.5">
      <c r="B131" s="160" t="str">
        <f t="shared" si="29"/>
        <v/>
      </c>
      <c r="C131" s="473">
        <f>IF(D93="","-",+C130+1)</f>
        <v>2043</v>
      </c>
      <c r="D131" s="347">
        <f>IF(F130+SUM(E$99:E130)=D$92,F130,D$92-SUM(E$99:E130))</f>
        <v>399864.61999999988</v>
      </c>
      <c r="E131" s="487">
        <f t="shared" si="42"/>
        <v>32653</v>
      </c>
      <c r="F131" s="486">
        <f t="shared" ref="F131:F154" si="43">+D131-E131</f>
        <v>367211.61999999988</v>
      </c>
      <c r="G131" s="486">
        <f t="shared" ref="G131:G154" si="44">+(F131+D131)/2</f>
        <v>383538.11999999988</v>
      </c>
      <c r="H131" s="487">
        <f t="shared" si="40"/>
        <v>76873.890784883828</v>
      </c>
      <c r="I131" s="543">
        <f t="shared" si="41"/>
        <v>76873.890784883828</v>
      </c>
      <c r="J131" s="479">
        <f t="shared" ref="J131:J154" si="45">+I541-H541</f>
        <v>0</v>
      </c>
      <c r="K131" s="479"/>
      <c r="L131" s="488"/>
      <c r="M131" s="479">
        <f t="shared" ref="M131:M154" si="46">IF(L541&lt;&gt;0,+H541-L541,0)</f>
        <v>0</v>
      </c>
      <c r="N131" s="488"/>
      <c r="O131" s="479">
        <f t="shared" ref="O131:O154" si="47">IF(N541&lt;&gt;0,+I541-N541,0)</f>
        <v>0</v>
      </c>
      <c r="P131" s="479">
        <f t="shared" ref="P131:P154" si="48">+O541-M541</f>
        <v>0</v>
      </c>
    </row>
    <row r="132" spans="2:16" ht="12.5">
      <c r="B132" s="160" t="str">
        <f t="shared" ref="B132:B154" si="49">IF(D132=F131,"","IU")</f>
        <v/>
      </c>
      <c r="C132" s="473">
        <f>IF(D93="","-",+C131+1)</f>
        <v>2044</v>
      </c>
      <c r="D132" s="347">
        <f>IF(F131+SUM(E$99:E131)=D$92,F131,D$92-SUM(E$99:E131))</f>
        <v>367211.61999999988</v>
      </c>
      <c r="E132" s="487">
        <f t="shared" si="42"/>
        <v>32653</v>
      </c>
      <c r="F132" s="486">
        <f t="shared" si="43"/>
        <v>334558.61999999988</v>
      </c>
      <c r="G132" s="486">
        <f t="shared" si="44"/>
        <v>350885.11999999988</v>
      </c>
      <c r="H132" s="487">
        <f t="shared" si="40"/>
        <v>73109.089656905169</v>
      </c>
      <c r="I132" s="543">
        <f t="shared" si="41"/>
        <v>73109.089656905169</v>
      </c>
      <c r="J132" s="479">
        <f t="shared" si="45"/>
        <v>0</v>
      </c>
      <c r="K132" s="479"/>
      <c r="L132" s="488"/>
      <c r="M132" s="479">
        <f t="shared" si="46"/>
        <v>0</v>
      </c>
      <c r="N132" s="488"/>
      <c r="O132" s="479">
        <f t="shared" si="47"/>
        <v>0</v>
      </c>
      <c r="P132" s="479">
        <f t="shared" si="48"/>
        <v>0</v>
      </c>
    </row>
    <row r="133" spans="2:16" ht="12.5">
      <c r="B133" s="160" t="str">
        <f t="shared" si="49"/>
        <v/>
      </c>
      <c r="C133" s="473">
        <f>IF(D93="","-",+C132+1)</f>
        <v>2045</v>
      </c>
      <c r="D133" s="347">
        <f>IF(F132+SUM(E$99:E132)=D$92,F132,D$92-SUM(E$99:E132))</f>
        <v>334558.61999999988</v>
      </c>
      <c r="E133" s="487">
        <f t="shared" si="42"/>
        <v>32653</v>
      </c>
      <c r="F133" s="486">
        <f t="shared" si="43"/>
        <v>301905.61999999988</v>
      </c>
      <c r="G133" s="486">
        <f t="shared" si="44"/>
        <v>318232.11999999988</v>
      </c>
      <c r="H133" s="487">
        <f t="shared" si="40"/>
        <v>69344.288528926525</v>
      </c>
      <c r="I133" s="543">
        <f t="shared" si="41"/>
        <v>69344.288528926525</v>
      </c>
      <c r="J133" s="479">
        <f t="shared" si="45"/>
        <v>0</v>
      </c>
      <c r="K133" s="479"/>
      <c r="L133" s="488"/>
      <c r="M133" s="479">
        <f t="shared" si="46"/>
        <v>0</v>
      </c>
      <c r="N133" s="488"/>
      <c r="O133" s="479">
        <f t="shared" si="47"/>
        <v>0</v>
      </c>
      <c r="P133" s="479">
        <f t="shared" si="48"/>
        <v>0</v>
      </c>
    </row>
    <row r="134" spans="2:16" ht="12.5">
      <c r="B134" s="160" t="str">
        <f t="shared" si="49"/>
        <v/>
      </c>
      <c r="C134" s="473">
        <f>IF(D93="","-",+C133+1)</f>
        <v>2046</v>
      </c>
      <c r="D134" s="347">
        <f>IF(F133+SUM(E$99:E133)=D$92,F133,D$92-SUM(E$99:E133))</f>
        <v>301905.61999999988</v>
      </c>
      <c r="E134" s="487">
        <f t="shared" si="42"/>
        <v>32653</v>
      </c>
      <c r="F134" s="486">
        <f t="shared" si="43"/>
        <v>269252.61999999988</v>
      </c>
      <c r="G134" s="486">
        <f t="shared" si="44"/>
        <v>285579.11999999988</v>
      </c>
      <c r="H134" s="487">
        <f t="shared" si="40"/>
        <v>65579.487400947866</v>
      </c>
      <c r="I134" s="543">
        <f t="shared" si="41"/>
        <v>65579.487400947866</v>
      </c>
      <c r="J134" s="479">
        <f t="shared" si="45"/>
        <v>0</v>
      </c>
      <c r="K134" s="479"/>
      <c r="L134" s="488"/>
      <c r="M134" s="479">
        <f t="shared" si="46"/>
        <v>0</v>
      </c>
      <c r="N134" s="488"/>
      <c r="O134" s="479">
        <f t="shared" si="47"/>
        <v>0</v>
      </c>
      <c r="P134" s="479">
        <f t="shared" si="48"/>
        <v>0</v>
      </c>
    </row>
    <row r="135" spans="2:16" ht="12.5">
      <c r="B135" s="160" t="str">
        <f t="shared" si="49"/>
        <v/>
      </c>
      <c r="C135" s="473">
        <f>IF(D93="","-",+C134+1)</f>
        <v>2047</v>
      </c>
      <c r="D135" s="347">
        <f>IF(F134+SUM(E$99:E134)=D$92,F134,D$92-SUM(E$99:E134))</f>
        <v>269252.61999999988</v>
      </c>
      <c r="E135" s="487">
        <f t="shared" si="42"/>
        <v>32653</v>
      </c>
      <c r="F135" s="486">
        <f t="shared" si="43"/>
        <v>236599.61999999988</v>
      </c>
      <c r="G135" s="486">
        <f t="shared" si="44"/>
        <v>252926.11999999988</v>
      </c>
      <c r="H135" s="487">
        <f t="shared" si="40"/>
        <v>61814.686272969215</v>
      </c>
      <c r="I135" s="543">
        <f t="shared" si="41"/>
        <v>61814.686272969215</v>
      </c>
      <c r="J135" s="479">
        <f t="shared" si="45"/>
        <v>0</v>
      </c>
      <c r="K135" s="479"/>
      <c r="L135" s="488"/>
      <c r="M135" s="479">
        <f t="shared" si="46"/>
        <v>0</v>
      </c>
      <c r="N135" s="488"/>
      <c r="O135" s="479">
        <f t="shared" si="47"/>
        <v>0</v>
      </c>
      <c r="P135" s="479">
        <f t="shared" si="48"/>
        <v>0</v>
      </c>
    </row>
    <row r="136" spans="2:16" ht="12.5">
      <c r="B136" s="160" t="str">
        <f t="shared" si="49"/>
        <v/>
      </c>
      <c r="C136" s="473">
        <f>IF(D93="","-",+C135+1)</f>
        <v>2048</v>
      </c>
      <c r="D136" s="347">
        <f>IF(F135+SUM(E$99:E135)=D$92,F135,D$92-SUM(E$99:E135))</f>
        <v>236599.61999999988</v>
      </c>
      <c r="E136" s="487">
        <f t="shared" si="42"/>
        <v>32653</v>
      </c>
      <c r="F136" s="486">
        <f t="shared" si="43"/>
        <v>203946.61999999988</v>
      </c>
      <c r="G136" s="486">
        <f t="shared" si="44"/>
        <v>220273.11999999988</v>
      </c>
      <c r="H136" s="487">
        <f t="shared" si="40"/>
        <v>58049.885144990563</v>
      </c>
      <c r="I136" s="543">
        <f t="shared" si="41"/>
        <v>58049.885144990563</v>
      </c>
      <c r="J136" s="479">
        <f t="shared" si="45"/>
        <v>0</v>
      </c>
      <c r="K136" s="479"/>
      <c r="L136" s="488"/>
      <c r="M136" s="479">
        <f t="shared" si="46"/>
        <v>0</v>
      </c>
      <c r="N136" s="488"/>
      <c r="O136" s="479">
        <f t="shared" si="47"/>
        <v>0</v>
      </c>
      <c r="P136" s="479">
        <f t="shared" si="48"/>
        <v>0</v>
      </c>
    </row>
    <row r="137" spans="2:16" ht="12.5">
      <c r="B137" s="160" t="str">
        <f t="shared" si="49"/>
        <v/>
      </c>
      <c r="C137" s="473">
        <f>IF(D93="","-",+C136+1)</f>
        <v>2049</v>
      </c>
      <c r="D137" s="347">
        <f>IF(F136+SUM(E$99:E136)=D$92,F136,D$92-SUM(E$99:E136))</f>
        <v>203946.61999999988</v>
      </c>
      <c r="E137" s="487">
        <f t="shared" si="42"/>
        <v>32653</v>
      </c>
      <c r="F137" s="486">
        <f t="shared" si="43"/>
        <v>171293.61999999988</v>
      </c>
      <c r="G137" s="486">
        <f t="shared" si="44"/>
        <v>187620.11999999988</v>
      </c>
      <c r="H137" s="487">
        <f t="shared" si="40"/>
        <v>54285.084017011905</v>
      </c>
      <c r="I137" s="543">
        <f t="shared" si="41"/>
        <v>54285.084017011905</v>
      </c>
      <c r="J137" s="479">
        <f t="shared" si="45"/>
        <v>0</v>
      </c>
      <c r="K137" s="479"/>
      <c r="L137" s="488"/>
      <c r="M137" s="479">
        <f t="shared" si="46"/>
        <v>0</v>
      </c>
      <c r="N137" s="488"/>
      <c r="O137" s="479">
        <f t="shared" si="47"/>
        <v>0</v>
      </c>
      <c r="P137" s="479">
        <f t="shared" si="48"/>
        <v>0</v>
      </c>
    </row>
    <row r="138" spans="2:16" ht="12.5">
      <c r="B138" s="160" t="str">
        <f t="shared" si="49"/>
        <v/>
      </c>
      <c r="C138" s="473">
        <f>IF(D93="","-",+C137+1)</f>
        <v>2050</v>
      </c>
      <c r="D138" s="347">
        <f>IF(F137+SUM(E$99:E137)=D$92,F137,D$92-SUM(E$99:E137))</f>
        <v>171293.61999999988</v>
      </c>
      <c r="E138" s="487">
        <f t="shared" si="42"/>
        <v>32653</v>
      </c>
      <c r="F138" s="486">
        <f t="shared" si="43"/>
        <v>138640.61999999988</v>
      </c>
      <c r="G138" s="486">
        <f t="shared" si="44"/>
        <v>154967.11999999988</v>
      </c>
      <c r="H138" s="487">
        <f t="shared" si="40"/>
        <v>50520.282889033253</v>
      </c>
      <c r="I138" s="543">
        <f t="shared" si="41"/>
        <v>50520.282889033253</v>
      </c>
      <c r="J138" s="479">
        <f t="shared" si="45"/>
        <v>0</v>
      </c>
      <c r="K138" s="479"/>
      <c r="L138" s="488"/>
      <c r="M138" s="479">
        <f t="shared" si="46"/>
        <v>0</v>
      </c>
      <c r="N138" s="488"/>
      <c r="O138" s="479">
        <f t="shared" si="47"/>
        <v>0</v>
      </c>
      <c r="P138" s="479">
        <f t="shared" si="48"/>
        <v>0</v>
      </c>
    </row>
    <row r="139" spans="2:16" ht="12.5">
      <c r="B139" s="160" t="str">
        <f t="shared" si="49"/>
        <v/>
      </c>
      <c r="C139" s="473">
        <f>IF(D93="","-",+C138+1)</f>
        <v>2051</v>
      </c>
      <c r="D139" s="347">
        <f>IF(F138+SUM(E$99:E138)=D$92,F138,D$92-SUM(E$99:E138))</f>
        <v>138640.61999999988</v>
      </c>
      <c r="E139" s="487">
        <f t="shared" si="42"/>
        <v>32653</v>
      </c>
      <c r="F139" s="486">
        <f t="shared" si="43"/>
        <v>105987.61999999988</v>
      </c>
      <c r="G139" s="486">
        <f t="shared" si="44"/>
        <v>122314.11999999988</v>
      </c>
      <c r="H139" s="487">
        <f t="shared" si="40"/>
        <v>46755.481761054602</v>
      </c>
      <c r="I139" s="543">
        <f t="shared" si="41"/>
        <v>46755.481761054602</v>
      </c>
      <c r="J139" s="479">
        <f t="shared" si="45"/>
        <v>0</v>
      </c>
      <c r="K139" s="479"/>
      <c r="L139" s="488"/>
      <c r="M139" s="479">
        <f t="shared" si="46"/>
        <v>0</v>
      </c>
      <c r="N139" s="488"/>
      <c r="O139" s="479">
        <f t="shared" si="47"/>
        <v>0</v>
      </c>
      <c r="P139" s="479">
        <f t="shared" si="48"/>
        <v>0</v>
      </c>
    </row>
    <row r="140" spans="2:16" ht="12.5">
      <c r="B140" s="160" t="str">
        <f t="shared" si="49"/>
        <v/>
      </c>
      <c r="C140" s="473">
        <f>IF(D93="","-",+C139+1)</f>
        <v>2052</v>
      </c>
      <c r="D140" s="347">
        <f>IF(F139+SUM(E$99:E139)=D$92,F139,D$92-SUM(E$99:E139))</f>
        <v>105987.61999999988</v>
      </c>
      <c r="E140" s="487">
        <f t="shared" si="42"/>
        <v>32653</v>
      </c>
      <c r="F140" s="486">
        <f t="shared" si="43"/>
        <v>73334.619999999879</v>
      </c>
      <c r="G140" s="486">
        <f t="shared" si="44"/>
        <v>89661.119999999879</v>
      </c>
      <c r="H140" s="487">
        <f t="shared" si="40"/>
        <v>42990.68063307595</v>
      </c>
      <c r="I140" s="543">
        <f t="shared" si="41"/>
        <v>42990.68063307595</v>
      </c>
      <c r="J140" s="479">
        <f t="shared" si="45"/>
        <v>0</v>
      </c>
      <c r="K140" s="479"/>
      <c r="L140" s="488"/>
      <c r="M140" s="479">
        <f t="shared" si="46"/>
        <v>0</v>
      </c>
      <c r="N140" s="488"/>
      <c r="O140" s="479">
        <f t="shared" si="47"/>
        <v>0</v>
      </c>
      <c r="P140" s="479">
        <f t="shared" si="48"/>
        <v>0</v>
      </c>
    </row>
    <row r="141" spans="2:16" ht="12.5">
      <c r="B141" s="160" t="str">
        <f t="shared" si="49"/>
        <v/>
      </c>
      <c r="C141" s="473">
        <f>IF(D93="","-",+C140+1)</f>
        <v>2053</v>
      </c>
      <c r="D141" s="347">
        <f>IF(F140+SUM(E$99:E140)=D$92,F140,D$92-SUM(E$99:E140))</f>
        <v>73334.619999999879</v>
      </c>
      <c r="E141" s="487">
        <f t="shared" si="42"/>
        <v>32653</v>
      </c>
      <c r="F141" s="486">
        <f t="shared" si="43"/>
        <v>40681.619999999879</v>
      </c>
      <c r="G141" s="486">
        <f t="shared" si="44"/>
        <v>57008.119999999879</v>
      </c>
      <c r="H141" s="487">
        <f t="shared" si="40"/>
        <v>39225.879505097299</v>
      </c>
      <c r="I141" s="543">
        <f t="shared" si="41"/>
        <v>39225.879505097299</v>
      </c>
      <c r="J141" s="479">
        <f t="shared" si="45"/>
        <v>0</v>
      </c>
      <c r="K141" s="479"/>
      <c r="L141" s="488"/>
      <c r="M141" s="479">
        <f t="shared" si="46"/>
        <v>0</v>
      </c>
      <c r="N141" s="488"/>
      <c r="O141" s="479">
        <f t="shared" si="47"/>
        <v>0</v>
      </c>
      <c r="P141" s="479">
        <f t="shared" si="48"/>
        <v>0</v>
      </c>
    </row>
    <row r="142" spans="2:16" ht="12.5">
      <c r="B142" s="160" t="str">
        <f t="shared" si="49"/>
        <v/>
      </c>
      <c r="C142" s="473">
        <f>IF(D93="","-",+C141+1)</f>
        <v>2054</v>
      </c>
      <c r="D142" s="347">
        <f>IF(F141+SUM(E$99:E141)=D$92,F141,D$92-SUM(E$99:E141))</f>
        <v>40681.619999999879</v>
      </c>
      <c r="E142" s="487">
        <f t="shared" si="42"/>
        <v>32653</v>
      </c>
      <c r="F142" s="486">
        <f t="shared" si="43"/>
        <v>8028.6199999998789</v>
      </c>
      <c r="G142" s="486">
        <f t="shared" si="44"/>
        <v>24355.119999999879</v>
      </c>
      <c r="H142" s="487">
        <f t="shared" si="40"/>
        <v>35461.07837711864</v>
      </c>
      <c r="I142" s="543">
        <f t="shared" si="41"/>
        <v>35461.07837711864</v>
      </c>
      <c r="J142" s="479">
        <f t="shared" si="45"/>
        <v>0</v>
      </c>
      <c r="K142" s="479"/>
      <c r="L142" s="488"/>
      <c r="M142" s="479">
        <f t="shared" si="46"/>
        <v>0</v>
      </c>
      <c r="N142" s="488"/>
      <c r="O142" s="479">
        <f t="shared" si="47"/>
        <v>0</v>
      </c>
      <c r="P142" s="479">
        <f t="shared" si="48"/>
        <v>0</v>
      </c>
    </row>
    <row r="143" spans="2:16" ht="12.5">
      <c r="B143" s="160" t="str">
        <f t="shared" si="49"/>
        <v/>
      </c>
      <c r="C143" s="473">
        <f>IF(D93="","-",+C142+1)</f>
        <v>2055</v>
      </c>
      <c r="D143" s="347">
        <f>IF(F142+SUM(E$99:E142)=D$92,F142,D$92-SUM(E$99:E142))</f>
        <v>8028.6199999998789</v>
      </c>
      <c r="E143" s="487">
        <f t="shared" si="42"/>
        <v>8028.6199999998789</v>
      </c>
      <c r="F143" s="486">
        <f t="shared" si="43"/>
        <v>0</v>
      </c>
      <c r="G143" s="486">
        <f t="shared" si="44"/>
        <v>4014.3099999999395</v>
      </c>
      <c r="H143" s="487">
        <f t="shared" si="40"/>
        <v>8491.4589065645359</v>
      </c>
      <c r="I143" s="543">
        <f t="shared" si="41"/>
        <v>8491.4589065645359</v>
      </c>
      <c r="J143" s="479">
        <f t="shared" si="45"/>
        <v>0</v>
      </c>
      <c r="K143" s="479"/>
      <c r="L143" s="488"/>
      <c r="M143" s="479">
        <f t="shared" si="46"/>
        <v>0</v>
      </c>
      <c r="N143" s="488"/>
      <c r="O143" s="479">
        <f t="shared" si="47"/>
        <v>0</v>
      </c>
      <c r="P143" s="479">
        <f t="shared" si="48"/>
        <v>0</v>
      </c>
    </row>
    <row r="144" spans="2:16" ht="12.5">
      <c r="B144" s="160" t="str">
        <f t="shared" si="49"/>
        <v/>
      </c>
      <c r="C144" s="473">
        <f>IF(D93="","-",+C143+1)</f>
        <v>2056</v>
      </c>
      <c r="D144" s="347">
        <f>IF(F143+SUM(E$99:E143)=D$92,F143,D$92-SUM(E$99:E143))</f>
        <v>0</v>
      </c>
      <c r="E144" s="487">
        <f t="shared" si="42"/>
        <v>0</v>
      </c>
      <c r="F144" s="486">
        <f t="shared" si="43"/>
        <v>0</v>
      </c>
      <c r="G144" s="486">
        <f t="shared" si="44"/>
        <v>0</v>
      </c>
      <c r="H144" s="487">
        <f t="shared" si="40"/>
        <v>0</v>
      </c>
      <c r="I144" s="543">
        <f t="shared" si="41"/>
        <v>0</v>
      </c>
      <c r="J144" s="479">
        <f t="shared" si="45"/>
        <v>0</v>
      </c>
      <c r="K144" s="479"/>
      <c r="L144" s="488"/>
      <c r="M144" s="479">
        <f t="shared" si="46"/>
        <v>0</v>
      </c>
      <c r="N144" s="488"/>
      <c r="O144" s="479">
        <f t="shared" si="47"/>
        <v>0</v>
      </c>
      <c r="P144" s="479">
        <f t="shared" si="48"/>
        <v>0</v>
      </c>
    </row>
    <row r="145" spans="2:16" ht="12.5">
      <c r="B145" s="160" t="str">
        <f t="shared" si="49"/>
        <v/>
      </c>
      <c r="C145" s="473">
        <f>IF(D93="","-",+C144+1)</f>
        <v>2057</v>
      </c>
      <c r="D145" s="347">
        <f>IF(F144+SUM(E$99:E144)=D$92,F144,D$92-SUM(E$99:E144))</f>
        <v>0</v>
      </c>
      <c r="E145" s="487">
        <f t="shared" si="42"/>
        <v>0</v>
      </c>
      <c r="F145" s="486">
        <f t="shared" si="43"/>
        <v>0</v>
      </c>
      <c r="G145" s="486">
        <f t="shared" si="44"/>
        <v>0</v>
      </c>
      <c r="H145" s="487">
        <f t="shared" si="40"/>
        <v>0</v>
      </c>
      <c r="I145" s="543">
        <f t="shared" si="41"/>
        <v>0</v>
      </c>
      <c r="J145" s="479">
        <f t="shared" si="45"/>
        <v>0</v>
      </c>
      <c r="K145" s="479"/>
      <c r="L145" s="488"/>
      <c r="M145" s="479">
        <f t="shared" si="46"/>
        <v>0</v>
      </c>
      <c r="N145" s="488"/>
      <c r="O145" s="479">
        <f t="shared" si="47"/>
        <v>0</v>
      </c>
      <c r="P145" s="479">
        <f t="shared" si="48"/>
        <v>0</v>
      </c>
    </row>
    <row r="146" spans="2:16" ht="12.5">
      <c r="B146" s="160" t="str">
        <f t="shared" si="49"/>
        <v/>
      </c>
      <c r="C146" s="473">
        <f>IF(D93="","-",+C145+1)</f>
        <v>2058</v>
      </c>
      <c r="D146" s="347">
        <f>IF(F145+SUM(E$99:E145)=D$92,F145,D$92-SUM(E$99:E145))</f>
        <v>0</v>
      </c>
      <c r="E146" s="487">
        <f t="shared" si="42"/>
        <v>0</v>
      </c>
      <c r="F146" s="486">
        <f t="shared" si="43"/>
        <v>0</v>
      </c>
      <c r="G146" s="486">
        <f t="shared" si="44"/>
        <v>0</v>
      </c>
      <c r="H146" s="487">
        <f t="shared" si="40"/>
        <v>0</v>
      </c>
      <c r="I146" s="543">
        <f t="shared" si="41"/>
        <v>0</v>
      </c>
      <c r="J146" s="479">
        <f t="shared" si="45"/>
        <v>0</v>
      </c>
      <c r="K146" s="479"/>
      <c r="L146" s="488"/>
      <c r="M146" s="479">
        <f t="shared" si="46"/>
        <v>0</v>
      </c>
      <c r="N146" s="488"/>
      <c r="O146" s="479">
        <f t="shared" si="47"/>
        <v>0</v>
      </c>
      <c r="P146" s="479">
        <f t="shared" si="48"/>
        <v>0</v>
      </c>
    </row>
    <row r="147" spans="2:16" ht="12.5">
      <c r="B147" s="160" t="str">
        <f t="shared" si="49"/>
        <v/>
      </c>
      <c r="C147" s="473">
        <f>IF(D93="","-",+C146+1)</f>
        <v>2059</v>
      </c>
      <c r="D147" s="347">
        <f>IF(F146+SUM(E$99:E146)=D$92,F146,D$92-SUM(E$99:E146))</f>
        <v>0</v>
      </c>
      <c r="E147" s="487">
        <f t="shared" si="42"/>
        <v>0</v>
      </c>
      <c r="F147" s="486">
        <f t="shared" si="43"/>
        <v>0</v>
      </c>
      <c r="G147" s="486">
        <f t="shared" si="44"/>
        <v>0</v>
      </c>
      <c r="H147" s="487">
        <f t="shared" si="40"/>
        <v>0</v>
      </c>
      <c r="I147" s="543">
        <f t="shared" si="41"/>
        <v>0</v>
      </c>
      <c r="J147" s="479">
        <f t="shared" si="45"/>
        <v>0</v>
      </c>
      <c r="K147" s="479"/>
      <c r="L147" s="488"/>
      <c r="M147" s="479">
        <f t="shared" si="46"/>
        <v>0</v>
      </c>
      <c r="N147" s="488"/>
      <c r="O147" s="479">
        <f t="shared" si="47"/>
        <v>0</v>
      </c>
      <c r="P147" s="479">
        <f t="shared" si="48"/>
        <v>0</v>
      </c>
    </row>
    <row r="148" spans="2:16" ht="12.5">
      <c r="B148" s="160" t="str">
        <f t="shared" si="49"/>
        <v/>
      </c>
      <c r="C148" s="473">
        <f>IF(D93="","-",+C147+1)</f>
        <v>2060</v>
      </c>
      <c r="D148" s="347">
        <f>IF(F147+SUM(E$99:E147)=D$92,F147,D$92-SUM(E$99:E147))</f>
        <v>0</v>
      </c>
      <c r="E148" s="487">
        <f t="shared" si="42"/>
        <v>0</v>
      </c>
      <c r="F148" s="486">
        <f t="shared" si="43"/>
        <v>0</v>
      </c>
      <c r="G148" s="486">
        <f t="shared" si="44"/>
        <v>0</v>
      </c>
      <c r="H148" s="487">
        <f t="shared" si="40"/>
        <v>0</v>
      </c>
      <c r="I148" s="543">
        <f t="shared" si="41"/>
        <v>0</v>
      </c>
      <c r="J148" s="479">
        <f t="shared" si="45"/>
        <v>0</v>
      </c>
      <c r="K148" s="479"/>
      <c r="L148" s="488"/>
      <c r="M148" s="479">
        <f t="shared" si="46"/>
        <v>0</v>
      </c>
      <c r="N148" s="488"/>
      <c r="O148" s="479">
        <f t="shared" si="47"/>
        <v>0</v>
      </c>
      <c r="P148" s="479">
        <f t="shared" si="48"/>
        <v>0</v>
      </c>
    </row>
    <row r="149" spans="2:16" ht="12.5">
      <c r="B149" s="160" t="str">
        <f t="shared" si="49"/>
        <v/>
      </c>
      <c r="C149" s="473">
        <f>IF(D93="","-",+C148+1)</f>
        <v>2061</v>
      </c>
      <c r="D149" s="347">
        <f>IF(F148+SUM(E$99:E148)=D$92,F148,D$92-SUM(E$99:E148))</f>
        <v>0</v>
      </c>
      <c r="E149" s="487">
        <f t="shared" si="42"/>
        <v>0</v>
      </c>
      <c r="F149" s="486">
        <f t="shared" si="43"/>
        <v>0</v>
      </c>
      <c r="G149" s="486">
        <f t="shared" si="44"/>
        <v>0</v>
      </c>
      <c r="H149" s="487">
        <f t="shared" si="40"/>
        <v>0</v>
      </c>
      <c r="I149" s="543">
        <f t="shared" si="41"/>
        <v>0</v>
      </c>
      <c r="J149" s="479">
        <f t="shared" si="45"/>
        <v>0</v>
      </c>
      <c r="K149" s="479"/>
      <c r="L149" s="488"/>
      <c r="M149" s="479">
        <f t="shared" si="46"/>
        <v>0</v>
      </c>
      <c r="N149" s="488"/>
      <c r="O149" s="479">
        <f t="shared" si="47"/>
        <v>0</v>
      </c>
      <c r="P149" s="479">
        <f t="shared" si="48"/>
        <v>0</v>
      </c>
    </row>
    <row r="150" spans="2:16" ht="12.5">
      <c r="B150" s="160" t="str">
        <f t="shared" si="49"/>
        <v/>
      </c>
      <c r="C150" s="473">
        <f>IF(D93="","-",+C149+1)</f>
        <v>2062</v>
      </c>
      <c r="D150" s="347">
        <f>IF(F149+SUM(E$99:E149)=D$92,F149,D$92-SUM(E$99:E149))</f>
        <v>0</v>
      </c>
      <c r="E150" s="487">
        <f t="shared" si="42"/>
        <v>0</v>
      </c>
      <c r="F150" s="486">
        <f t="shared" si="43"/>
        <v>0</v>
      </c>
      <c r="G150" s="486">
        <f t="shared" si="44"/>
        <v>0</v>
      </c>
      <c r="H150" s="487">
        <f t="shared" si="40"/>
        <v>0</v>
      </c>
      <c r="I150" s="543">
        <f t="shared" si="41"/>
        <v>0</v>
      </c>
      <c r="J150" s="479">
        <f t="shared" si="45"/>
        <v>0</v>
      </c>
      <c r="K150" s="479"/>
      <c r="L150" s="488"/>
      <c r="M150" s="479">
        <f t="shared" si="46"/>
        <v>0</v>
      </c>
      <c r="N150" s="488"/>
      <c r="O150" s="479">
        <f t="shared" si="47"/>
        <v>0</v>
      </c>
      <c r="P150" s="479">
        <f t="shared" si="48"/>
        <v>0</v>
      </c>
    </row>
    <row r="151" spans="2:16" ht="12.5">
      <c r="B151" s="160" t="str">
        <f t="shared" si="49"/>
        <v/>
      </c>
      <c r="C151" s="473">
        <f>IF(D93="","-",+C150+1)</f>
        <v>2063</v>
      </c>
      <c r="D151" s="347">
        <f>IF(F150+SUM(E$99:E150)=D$92,F150,D$92-SUM(E$99:E150))</f>
        <v>0</v>
      </c>
      <c r="E151" s="487">
        <f t="shared" si="42"/>
        <v>0</v>
      </c>
      <c r="F151" s="486">
        <f t="shared" si="43"/>
        <v>0</v>
      </c>
      <c r="G151" s="486">
        <f t="shared" si="44"/>
        <v>0</v>
      </c>
      <c r="H151" s="487">
        <f t="shared" si="40"/>
        <v>0</v>
      </c>
      <c r="I151" s="543">
        <f t="shared" si="41"/>
        <v>0</v>
      </c>
      <c r="J151" s="479">
        <f t="shared" si="45"/>
        <v>0</v>
      </c>
      <c r="K151" s="479"/>
      <c r="L151" s="488"/>
      <c r="M151" s="479">
        <f t="shared" si="46"/>
        <v>0</v>
      </c>
      <c r="N151" s="488"/>
      <c r="O151" s="479">
        <f t="shared" si="47"/>
        <v>0</v>
      </c>
      <c r="P151" s="479">
        <f t="shared" si="48"/>
        <v>0</v>
      </c>
    </row>
    <row r="152" spans="2:16" ht="12.5">
      <c r="B152" s="160" t="str">
        <f t="shared" si="49"/>
        <v/>
      </c>
      <c r="C152" s="473">
        <f>IF(D93="","-",+C151+1)</f>
        <v>2064</v>
      </c>
      <c r="D152" s="347">
        <f>IF(F151+SUM(E$99:E151)=D$92,F151,D$92-SUM(E$99:E151))</f>
        <v>0</v>
      </c>
      <c r="E152" s="487">
        <f t="shared" si="42"/>
        <v>0</v>
      </c>
      <c r="F152" s="486">
        <f t="shared" si="43"/>
        <v>0</v>
      </c>
      <c r="G152" s="486">
        <f t="shared" si="44"/>
        <v>0</v>
      </c>
      <c r="H152" s="487">
        <f t="shared" si="40"/>
        <v>0</v>
      </c>
      <c r="I152" s="543">
        <f t="shared" si="41"/>
        <v>0</v>
      </c>
      <c r="J152" s="479">
        <f t="shared" si="45"/>
        <v>0</v>
      </c>
      <c r="K152" s="479"/>
      <c r="L152" s="488"/>
      <c r="M152" s="479">
        <f t="shared" si="46"/>
        <v>0</v>
      </c>
      <c r="N152" s="488"/>
      <c r="O152" s="479">
        <f t="shared" si="47"/>
        <v>0</v>
      </c>
      <c r="P152" s="479">
        <f t="shared" si="48"/>
        <v>0</v>
      </c>
    </row>
    <row r="153" spans="2:16" ht="12.5">
      <c r="B153" s="160" t="str">
        <f t="shared" si="49"/>
        <v/>
      </c>
      <c r="C153" s="473">
        <f>IF(D93="","-",+C152+1)</f>
        <v>2065</v>
      </c>
      <c r="D153" s="347">
        <f>IF(F152+SUM(E$99:E152)=D$92,F152,D$92-SUM(E$99:E152))</f>
        <v>0</v>
      </c>
      <c r="E153" s="487">
        <f t="shared" si="42"/>
        <v>0</v>
      </c>
      <c r="F153" s="486">
        <f t="shared" si="43"/>
        <v>0</v>
      </c>
      <c r="G153" s="486">
        <f t="shared" si="44"/>
        <v>0</v>
      </c>
      <c r="H153" s="487">
        <f t="shared" si="40"/>
        <v>0</v>
      </c>
      <c r="I153" s="543">
        <f t="shared" si="41"/>
        <v>0</v>
      </c>
      <c r="J153" s="479">
        <f t="shared" si="45"/>
        <v>0</v>
      </c>
      <c r="K153" s="479"/>
      <c r="L153" s="488"/>
      <c r="M153" s="479">
        <f t="shared" si="46"/>
        <v>0</v>
      </c>
      <c r="N153" s="488"/>
      <c r="O153" s="479">
        <f t="shared" si="47"/>
        <v>0</v>
      </c>
      <c r="P153" s="479">
        <f t="shared" si="48"/>
        <v>0</v>
      </c>
    </row>
    <row r="154" spans="2:16" ht="13" thickBot="1">
      <c r="B154" s="160" t="str">
        <f t="shared" si="49"/>
        <v/>
      </c>
      <c r="C154" s="490">
        <f>IF(D93="","-",+C153+1)</f>
        <v>2066</v>
      </c>
      <c r="D154" s="577">
        <f>IF(F153+SUM(E$99:E153)=D$92,F153,D$92-SUM(E$99:E153))</f>
        <v>0</v>
      </c>
      <c r="E154" s="545">
        <f t="shared" si="42"/>
        <v>0</v>
      </c>
      <c r="F154" s="491">
        <f t="shared" si="43"/>
        <v>0</v>
      </c>
      <c r="G154" s="491">
        <f t="shared" si="44"/>
        <v>0</v>
      </c>
      <c r="H154" s="493">
        <f t="shared" ref="H154" si="50">+J$94*G154+E154</f>
        <v>0</v>
      </c>
      <c r="I154" s="546">
        <f t="shared" ref="I154" si="51">+J$95*G154+E154</f>
        <v>0</v>
      </c>
      <c r="J154" s="496">
        <f t="shared" si="45"/>
        <v>0</v>
      </c>
      <c r="K154" s="479"/>
      <c r="L154" s="495"/>
      <c r="M154" s="496">
        <f t="shared" si="46"/>
        <v>0</v>
      </c>
      <c r="N154" s="495"/>
      <c r="O154" s="496">
        <f t="shared" si="47"/>
        <v>0</v>
      </c>
      <c r="P154" s="496">
        <f t="shared" si="48"/>
        <v>0</v>
      </c>
    </row>
    <row r="155" spans="2:16" ht="12.5">
      <c r="C155" s="347" t="s">
        <v>77</v>
      </c>
      <c r="D155" s="348"/>
      <c r="E155" s="348">
        <f>SUM(E99:E154)</f>
        <v>1404099.6199999999</v>
      </c>
      <c r="F155" s="348"/>
      <c r="G155" s="348"/>
      <c r="H155" s="348">
        <f>SUM(H99:H154)</f>
        <v>5185015.8221525913</v>
      </c>
      <c r="I155" s="348">
        <f>SUM(I99:I154)</f>
        <v>5185015.8221525913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40" priority="1" stopIfTrue="1" operator="equal">
      <formula>$I$10</formula>
    </cfRule>
  </conditionalFormatting>
  <conditionalFormatting sqref="C99:C154">
    <cfRule type="cellIs" dxfId="3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P162"/>
  <sheetViews>
    <sheetView view="pageBreakPreview" topLeftCell="B67" zoomScale="75" zoomScaleNormal="100" workbookViewId="0">
      <selection activeCell="E108" sqref="E108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8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12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381296.77932523622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381296.77932523622</v>
      </c>
      <c r="O6" s="233"/>
      <c r="P6" s="233"/>
    </row>
    <row r="7" spans="1:16" ht="13.5" thickBot="1">
      <c r="C7" s="432" t="s">
        <v>46</v>
      </c>
      <c r="D7" s="433" t="s">
        <v>237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236</v>
      </c>
      <c r="E9" s="578" t="s">
        <v>295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3305767.14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2012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8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76878.305581395354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2012</v>
      </c>
      <c r="D17" s="474">
        <v>1132400</v>
      </c>
      <c r="E17" s="475">
        <v>3629.4871794871797</v>
      </c>
      <c r="F17" s="474">
        <v>1128770.5128205128</v>
      </c>
      <c r="G17" s="475">
        <v>160761.94360740471</v>
      </c>
      <c r="H17" s="482">
        <v>160761.94360740471</v>
      </c>
      <c r="I17" s="476">
        <f t="shared" ref="I17:I48" si="0">H17-G17</f>
        <v>0</v>
      </c>
      <c r="J17" s="476"/>
      <c r="K17" s="555">
        <f t="shared" ref="K17:K22" si="1">G17</f>
        <v>160761.94360740471</v>
      </c>
      <c r="L17" s="563">
        <f t="shared" ref="L17:L48" si="2">IF(K17&lt;&gt;0,+G17-K17,0)</f>
        <v>0</v>
      </c>
      <c r="M17" s="555">
        <f t="shared" ref="M17:M22" si="3">H17</f>
        <v>160761.94360740471</v>
      </c>
      <c r="N17" s="560">
        <f t="shared" ref="N17:N48" si="4">IF(M17&lt;&gt;0,+H17-M17,0)</f>
        <v>0</v>
      </c>
      <c r="O17" s="479">
        <f t="shared" ref="O17:O48" si="5">+N17-L17</f>
        <v>0</v>
      </c>
      <c r="P17" s="243"/>
    </row>
    <row r="18" spans="2:16" ht="12.5">
      <c r="B18" s="160" t="str">
        <f t="shared" ref="B18:B49" si="6">IF(D18=F17,"","IU")</f>
        <v>IU</v>
      </c>
      <c r="C18" s="473">
        <f>IF(D11="","-",+C17+1)</f>
        <v>2013</v>
      </c>
      <c r="D18" s="474">
        <v>2746405</v>
      </c>
      <c r="E18" s="481">
        <v>52885</v>
      </c>
      <c r="F18" s="474">
        <v>2693519</v>
      </c>
      <c r="G18" s="481">
        <v>437538</v>
      </c>
      <c r="H18" s="482">
        <v>437538</v>
      </c>
      <c r="I18" s="476">
        <f t="shared" si="0"/>
        <v>0</v>
      </c>
      <c r="J18" s="476"/>
      <c r="K18" s="477">
        <f t="shared" si="1"/>
        <v>437538</v>
      </c>
      <c r="L18" s="551">
        <f t="shared" ref="L18:L23" si="7">IF(K18&lt;&gt;0,+G18-K18,0)</f>
        <v>0</v>
      </c>
      <c r="M18" s="477">
        <f t="shared" si="3"/>
        <v>437538</v>
      </c>
      <c r="N18" s="479">
        <f t="shared" ref="N18:N23" si="8">IF(M18&lt;&gt;0,+H18-M18,0)</f>
        <v>0</v>
      </c>
      <c r="O18" s="479">
        <f t="shared" ref="O18:O23" si="9">+N18-L18</f>
        <v>0</v>
      </c>
      <c r="P18" s="243"/>
    </row>
    <row r="19" spans="2:16" ht="12.5">
      <c r="B19" s="160" t="str">
        <f t="shared" si="6"/>
        <v>IU</v>
      </c>
      <c r="C19" s="473">
        <f>IF(D11="","-",+C18+1)</f>
        <v>2014</v>
      </c>
      <c r="D19" s="474">
        <v>3185619.512820513</v>
      </c>
      <c r="E19" s="481">
        <v>62348.730769230766</v>
      </c>
      <c r="F19" s="474">
        <v>3123270.782051282</v>
      </c>
      <c r="G19" s="481">
        <v>492294.73076923075</v>
      </c>
      <c r="H19" s="482">
        <v>492294.73076923075</v>
      </c>
      <c r="I19" s="476">
        <v>0</v>
      </c>
      <c r="J19" s="476"/>
      <c r="K19" s="477">
        <f t="shared" si="1"/>
        <v>492294.73076923075</v>
      </c>
      <c r="L19" s="551">
        <f t="shared" si="7"/>
        <v>0</v>
      </c>
      <c r="M19" s="477">
        <f t="shared" si="3"/>
        <v>492294.73076923075</v>
      </c>
      <c r="N19" s="479">
        <f t="shared" si="8"/>
        <v>0</v>
      </c>
      <c r="O19" s="479">
        <f t="shared" si="9"/>
        <v>0</v>
      </c>
      <c r="P19" s="243"/>
    </row>
    <row r="20" spans="2:16" ht="12.5">
      <c r="B20" s="160" t="str">
        <f t="shared" si="6"/>
        <v>IU</v>
      </c>
      <c r="C20" s="473">
        <f>IF(D11="","-",+C19+1)</f>
        <v>2015</v>
      </c>
      <c r="D20" s="474">
        <v>3186903.9220512821</v>
      </c>
      <c r="E20" s="481">
        <v>63572.445</v>
      </c>
      <c r="F20" s="474">
        <v>3123331.4770512823</v>
      </c>
      <c r="G20" s="481">
        <v>494191.44500000001</v>
      </c>
      <c r="H20" s="482">
        <v>494191.44500000001</v>
      </c>
      <c r="I20" s="476">
        <v>0</v>
      </c>
      <c r="J20" s="476"/>
      <c r="K20" s="477">
        <f t="shared" si="1"/>
        <v>494191.44500000001</v>
      </c>
      <c r="L20" s="551">
        <f t="shared" si="7"/>
        <v>0</v>
      </c>
      <c r="M20" s="477">
        <f t="shared" si="3"/>
        <v>494191.44500000001</v>
      </c>
      <c r="N20" s="479">
        <f t="shared" si="8"/>
        <v>0</v>
      </c>
      <c r="O20" s="479">
        <f t="shared" si="9"/>
        <v>0</v>
      </c>
      <c r="P20" s="243"/>
    </row>
    <row r="21" spans="2:16" ht="12.5">
      <c r="B21" s="160" t="str">
        <f t="shared" si="6"/>
        <v/>
      </c>
      <c r="C21" s="473">
        <f>IF(D11="","-",+C20+1)</f>
        <v>2016</v>
      </c>
      <c r="D21" s="474">
        <v>3123331.4770512823</v>
      </c>
      <c r="E21" s="481">
        <v>63572.445</v>
      </c>
      <c r="F21" s="474">
        <v>3059759.0320512825</v>
      </c>
      <c r="G21" s="481">
        <v>464889.44500000001</v>
      </c>
      <c r="H21" s="482">
        <v>464889.44500000001</v>
      </c>
      <c r="I21" s="476">
        <f t="shared" si="0"/>
        <v>0</v>
      </c>
      <c r="J21" s="476"/>
      <c r="K21" s="477">
        <f t="shared" si="1"/>
        <v>464889.44500000001</v>
      </c>
      <c r="L21" s="551">
        <f t="shared" si="7"/>
        <v>0</v>
      </c>
      <c r="M21" s="477">
        <f t="shared" si="3"/>
        <v>464889.44500000001</v>
      </c>
      <c r="N21" s="479">
        <f t="shared" si="8"/>
        <v>0</v>
      </c>
      <c r="O21" s="479">
        <f t="shared" si="9"/>
        <v>0</v>
      </c>
      <c r="P21" s="243"/>
    </row>
    <row r="22" spans="2:16" ht="12.5">
      <c r="B22" s="160" t="str">
        <f t="shared" si="6"/>
        <v/>
      </c>
      <c r="C22" s="473">
        <f>IF(D11="","-",+C21+1)</f>
        <v>2017</v>
      </c>
      <c r="D22" s="474">
        <v>3059759.0320512825</v>
      </c>
      <c r="E22" s="481">
        <v>71864.503043478268</v>
      </c>
      <c r="F22" s="474">
        <v>2987894.5290078041</v>
      </c>
      <c r="G22" s="481">
        <v>452105.50304347824</v>
      </c>
      <c r="H22" s="482">
        <v>452105.50304347824</v>
      </c>
      <c r="I22" s="476">
        <f t="shared" si="0"/>
        <v>0</v>
      </c>
      <c r="J22" s="476"/>
      <c r="K22" s="477">
        <f t="shared" si="1"/>
        <v>452105.50304347824</v>
      </c>
      <c r="L22" s="551">
        <f t="shared" si="7"/>
        <v>0</v>
      </c>
      <c r="M22" s="477">
        <f t="shared" si="3"/>
        <v>452105.50304347824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2018</v>
      </c>
      <c r="D23" s="474">
        <v>2987894.5290078041</v>
      </c>
      <c r="E23" s="481">
        <v>73461.491999999998</v>
      </c>
      <c r="F23" s="474">
        <v>2914433.037007804</v>
      </c>
      <c r="G23" s="481">
        <v>467887.49199999997</v>
      </c>
      <c r="H23" s="482">
        <v>467887.49199999997</v>
      </c>
      <c r="I23" s="476">
        <f t="shared" si="0"/>
        <v>0</v>
      </c>
      <c r="J23" s="476"/>
      <c r="K23" s="477">
        <f>G23</f>
        <v>467887.49199999997</v>
      </c>
      <c r="L23" s="551">
        <f t="shared" si="7"/>
        <v>0</v>
      </c>
      <c r="M23" s="477">
        <f>H23</f>
        <v>467887.49199999997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2019</v>
      </c>
      <c r="D24" s="474">
        <v>2914433.037007804</v>
      </c>
      <c r="E24" s="481">
        <v>73461.491999999998</v>
      </c>
      <c r="F24" s="474">
        <v>2840971.5450078039</v>
      </c>
      <c r="G24" s="481">
        <v>457945.49199999997</v>
      </c>
      <c r="H24" s="482">
        <v>457945.49199999997</v>
      </c>
      <c r="I24" s="476">
        <f t="shared" si="0"/>
        <v>0</v>
      </c>
      <c r="J24" s="476"/>
      <c r="K24" s="477">
        <f>G24</f>
        <v>457945.49199999997</v>
      </c>
      <c r="L24" s="551">
        <f t="shared" ref="L24" si="10">IF(K24&lt;&gt;0,+G24-K24,0)</f>
        <v>0</v>
      </c>
      <c r="M24" s="477">
        <f>H24</f>
        <v>457945.49199999997</v>
      </c>
      <c r="N24" s="479">
        <f t="shared" ref="N24" si="11">IF(M24&lt;&gt;0,+H24-M24,0)</f>
        <v>0</v>
      </c>
      <c r="O24" s="479">
        <f t="shared" ref="O24" si="12">+N24-L24</f>
        <v>0</v>
      </c>
      <c r="P24" s="243"/>
    </row>
    <row r="25" spans="2:16" ht="12.5">
      <c r="B25" s="160" t="str">
        <f t="shared" si="6"/>
        <v/>
      </c>
      <c r="C25" s="473">
        <f>IF(D11="","-",+C24+1)</f>
        <v>2020</v>
      </c>
      <c r="D25" s="474">
        <v>2840971.5450078039</v>
      </c>
      <c r="E25" s="481">
        <v>78708.741428571433</v>
      </c>
      <c r="F25" s="474">
        <v>2762262.8035792327</v>
      </c>
      <c r="G25" s="481">
        <v>381296.77932523622</v>
      </c>
      <c r="H25" s="482">
        <v>381296.77932523622</v>
      </c>
      <c r="I25" s="476">
        <f t="shared" si="0"/>
        <v>0</v>
      </c>
      <c r="J25" s="476"/>
      <c r="K25" s="477">
        <f>G25</f>
        <v>381296.77932523622</v>
      </c>
      <c r="L25" s="551">
        <f t="shared" ref="L25" si="13">IF(K25&lt;&gt;0,+G25-K25,0)</f>
        <v>0</v>
      </c>
      <c r="M25" s="477">
        <f>H25</f>
        <v>381296.77932523622</v>
      </c>
      <c r="N25" s="479">
        <f t="shared" si="4"/>
        <v>0</v>
      </c>
      <c r="O25" s="479">
        <f t="shared" si="5"/>
        <v>0</v>
      </c>
      <c r="P25" s="243"/>
    </row>
    <row r="26" spans="2:16" ht="12.5">
      <c r="B26" s="160" t="str">
        <f t="shared" si="6"/>
        <v/>
      </c>
      <c r="C26" s="473">
        <f>IF(D11="","-",+C25+1)</f>
        <v>2021</v>
      </c>
      <c r="D26" s="486">
        <f>IF(F25+SUM(E$17:E25)=D$10,F25,D$10-SUM(E$17:E25))</f>
        <v>2762262.8035792327</v>
      </c>
      <c r="E26" s="485">
        <f>IF(+I14&lt;F25,I14,D26)</f>
        <v>76878.305581395354</v>
      </c>
      <c r="F26" s="486">
        <f t="shared" ref="F26:F48" si="14">+D26-E26</f>
        <v>2685384.4979978371</v>
      </c>
      <c r="G26" s="487">
        <f t="shared" ref="G26:G72" si="15">(D26+F26)/2*I$12+E26</f>
        <v>390271.47272697324</v>
      </c>
      <c r="H26" s="456">
        <f t="shared" ref="H26:H72" si="16">+(D26+F26)/2*I$13+E26</f>
        <v>390271.47272697324</v>
      </c>
      <c r="I26" s="476">
        <f t="shared" si="0"/>
        <v>0</v>
      </c>
      <c r="J26" s="476"/>
      <c r="K26" s="488"/>
      <c r="L26" s="479">
        <f t="shared" si="2"/>
        <v>0</v>
      </c>
      <c r="M26" s="488"/>
      <c r="N26" s="479">
        <f t="shared" si="4"/>
        <v>0</v>
      </c>
      <c r="O26" s="479">
        <f t="shared" si="5"/>
        <v>0</v>
      </c>
      <c r="P26" s="243"/>
    </row>
    <row r="27" spans="2:16" ht="12.5">
      <c r="B27" s="160" t="str">
        <f t="shared" si="6"/>
        <v/>
      </c>
      <c r="C27" s="473">
        <f>IF(D11="","-",+C26+1)</f>
        <v>2022</v>
      </c>
      <c r="D27" s="484">
        <f>IF(F26+SUM(E$17:E26)=D$10,F26,D$10-SUM(E$17:E26))</f>
        <v>2685384.4979978371</v>
      </c>
      <c r="E27" s="485">
        <f>IF(+I14&lt;F26,I14,D27)</f>
        <v>76878.305581395354</v>
      </c>
      <c r="F27" s="486">
        <f t="shared" si="14"/>
        <v>2608506.1924164416</v>
      </c>
      <c r="G27" s="487">
        <f t="shared" si="15"/>
        <v>381426.13662602403</v>
      </c>
      <c r="H27" s="456">
        <f t="shared" si="16"/>
        <v>381426.13662602403</v>
      </c>
      <c r="I27" s="476">
        <f t="shared" si="0"/>
        <v>0</v>
      </c>
      <c r="J27" s="476"/>
      <c r="K27" s="488"/>
      <c r="L27" s="479">
        <f t="shared" si="2"/>
        <v>0</v>
      </c>
      <c r="M27" s="488"/>
      <c r="N27" s="479">
        <f t="shared" si="4"/>
        <v>0</v>
      </c>
      <c r="O27" s="479">
        <f t="shared" si="5"/>
        <v>0</v>
      </c>
      <c r="P27" s="243"/>
    </row>
    <row r="28" spans="2:16" ht="12.5">
      <c r="B28" s="160" t="str">
        <f t="shared" si="6"/>
        <v/>
      </c>
      <c r="C28" s="473">
        <f>IF(D11="","-",+C27+1)</f>
        <v>2023</v>
      </c>
      <c r="D28" s="486">
        <f>IF(F27+SUM(E$17:E27)=D$10,F27,D$10-SUM(E$17:E27))</f>
        <v>2608506.1924164416</v>
      </c>
      <c r="E28" s="485">
        <f>IF(+I14&lt;F27,I14,D28)</f>
        <v>76878.305581395354</v>
      </c>
      <c r="F28" s="486">
        <f t="shared" si="14"/>
        <v>2531627.8868350461</v>
      </c>
      <c r="G28" s="487">
        <f t="shared" si="15"/>
        <v>372580.80052507482</v>
      </c>
      <c r="H28" s="456">
        <f t="shared" si="16"/>
        <v>372580.80052507482</v>
      </c>
      <c r="I28" s="476">
        <f t="shared" si="0"/>
        <v>0</v>
      </c>
      <c r="J28" s="476"/>
      <c r="K28" s="488"/>
      <c r="L28" s="479">
        <f t="shared" si="2"/>
        <v>0</v>
      </c>
      <c r="M28" s="488"/>
      <c r="N28" s="479">
        <f t="shared" si="4"/>
        <v>0</v>
      </c>
      <c r="O28" s="479">
        <f t="shared" si="5"/>
        <v>0</v>
      </c>
      <c r="P28" s="243"/>
    </row>
    <row r="29" spans="2:16" ht="12.5">
      <c r="B29" s="160" t="str">
        <f t="shared" si="6"/>
        <v/>
      </c>
      <c r="C29" s="473">
        <f>IF(D11="","-",+C28+1)</f>
        <v>2024</v>
      </c>
      <c r="D29" s="486">
        <f>IF(F28+SUM(E$17:E28)=D$10,F28,D$10-SUM(E$17:E28))</f>
        <v>2531627.8868350461</v>
      </c>
      <c r="E29" s="485">
        <f>IF(+I14&lt;F28,I14,D29)</f>
        <v>76878.305581395354</v>
      </c>
      <c r="F29" s="486">
        <f t="shared" si="14"/>
        <v>2454749.5812536506</v>
      </c>
      <c r="G29" s="487">
        <f t="shared" si="15"/>
        <v>363735.46442412562</v>
      </c>
      <c r="H29" s="456">
        <f t="shared" si="16"/>
        <v>363735.46442412562</v>
      </c>
      <c r="I29" s="476">
        <f t="shared" si="0"/>
        <v>0</v>
      </c>
      <c r="J29" s="476"/>
      <c r="K29" s="488"/>
      <c r="L29" s="479">
        <f t="shared" si="2"/>
        <v>0</v>
      </c>
      <c r="M29" s="488"/>
      <c r="N29" s="479">
        <f t="shared" si="4"/>
        <v>0</v>
      </c>
      <c r="O29" s="479">
        <f t="shared" si="5"/>
        <v>0</v>
      </c>
      <c r="P29" s="243"/>
    </row>
    <row r="30" spans="2:16" ht="12.5">
      <c r="B30" s="160" t="str">
        <f t="shared" si="6"/>
        <v/>
      </c>
      <c r="C30" s="473">
        <f>IF(D11="","-",+C29+1)</f>
        <v>2025</v>
      </c>
      <c r="D30" s="486">
        <f>IF(F29+SUM(E$17:E29)=D$10,F29,D$10-SUM(E$17:E29))</f>
        <v>2454749.5812536506</v>
      </c>
      <c r="E30" s="485">
        <f>IF(+I14&lt;F29,I14,D30)</f>
        <v>76878.305581395354</v>
      </c>
      <c r="F30" s="486">
        <f t="shared" si="14"/>
        <v>2377871.2756722551</v>
      </c>
      <c r="G30" s="487">
        <f t="shared" si="15"/>
        <v>354890.12832317641</v>
      </c>
      <c r="H30" s="456">
        <f t="shared" si="16"/>
        <v>354890.12832317641</v>
      </c>
      <c r="I30" s="476">
        <f t="shared" si="0"/>
        <v>0</v>
      </c>
      <c r="J30" s="476"/>
      <c r="K30" s="488"/>
      <c r="L30" s="479">
        <f t="shared" si="2"/>
        <v>0</v>
      </c>
      <c r="M30" s="488"/>
      <c r="N30" s="479">
        <f t="shared" si="4"/>
        <v>0</v>
      </c>
      <c r="O30" s="479">
        <f t="shared" si="5"/>
        <v>0</v>
      </c>
      <c r="P30" s="243"/>
    </row>
    <row r="31" spans="2:16" ht="12.5">
      <c r="B31" s="160" t="str">
        <f t="shared" si="6"/>
        <v/>
      </c>
      <c r="C31" s="473">
        <f>IF(D11="","-",+C30+1)</f>
        <v>2026</v>
      </c>
      <c r="D31" s="486">
        <f>IF(F30+SUM(E$17:E30)=D$10,F30,D$10-SUM(E$17:E30))</f>
        <v>2377871.2756722551</v>
      </c>
      <c r="E31" s="485">
        <f>IF(+I14&lt;F30,I14,D31)</f>
        <v>76878.305581395354</v>
      </c>
      <c r="F31" s="486">
        <f t="shared" si="14"/>
        <v>2300992.9700908596</v>
      </c>
      <c r="G31" s="487">
        <f t="shared" si="15"/>
        <v>346044.7922222272</v>
      </c>
      <c r="H31" s="456">
        <f t="shared" si="16"/>
        <v>346044.7922222272</v>
      </c>
      <c r="I31" s="476">
        <f t="shared" si="0"/>
        <v>0</v>
      </c>
      <c r="J31" s="476"/>
      <c r="K31" s="488"/>
      <c r="L31" s="479">
        <f t="shared" si="2"/>
        <v>0</v>
      </c>
      <c r="M31" s="488"/>
      <c r="N31" s="479">
        <f t="shared" si="4"/>
        <v>0</v>
      </c>
      <c r="O31" s="479">
        <f t="shared" si="5"/>
        <v>0</v>
      </c>
      <c r="P31" s="243"/>
    </row>
    <row r="32" spans="2:16" ht="12.5">
      <c r="B32" s="160" t="str">
        <f t="shared" si="6"/>
        <v/>
      </c>
      <c r="C32" s="473">
        <f>IF(D11="","-",+C31+1)</f>
        <v>2027</v>
      </c>
      <c r="D32" s="486">
        <f>IF(F31+SUM(E$17:E31)=D$10,F31,D$10-SUM(E$17:E31))</f>
        <v>2300992.9700908596</v>
      </c>
      <c r="E32" s="485">
        <f>IF(+I14&lt;F31,I14,D32)</f>
        <v>76878.305581395354</v>
      </c>
      <c r="F32" s="486">
        <f t="shared" si="14"/>
        <v>2224114.6645094641</v>
      </c>
      <c r="G32" s="487">
        <f t="shared" si="15"/>
        <v>337199.456121278</v>
      </c>
      <c r="H32" s="456">
        <f t="shared" si="16"/>
        <v>337199.456121278</v>
      </c>
      <c r="I32" s="476">
        <f t="shared" si="0"/>
        <v>0</v>
      </c>
      <c r="J32" s="476"/>
      <c r="K32" s="488"/>
      <c r="L32" s="479">
        <f t="shared" si="2"/>
        <v>0</v>
      </c>
      <c r="M32" s="488"/>
      <c r="N32" s="479">
        <f t="shared" si="4"/>
        <v>0</v>
      </c>
      <c r="O32" s="479">
        <f t="shared" si="5"/>
        <v>0</v>
      </c>
      <c r="P32" s="243"/>
    </row>
    <row r="33" spans="2:16" ht="12.5">
      <c r="B33" s="160" t="str">
        <f t="shared" si="6"/>
        <v/>
      </c>
      <c r="C33" s="473">
        <f>IF(D11="","-",+C32+1)</f>
        <v>2028</v>
      </c>
      <c r="D33" s="486">
        <f>IF(F32+SUM(E$17:E32)=D$10,F32,D$10-SUM(E$17:E32))</f>
        <v>2224114.6645094641</v>
      </c>
      <c r="E33" s="485">
        <f>IF(+I14&lt;F32,I14,D33)</f>
        <v>76878.305581395354</v>
      </c>
      <c r="F33" s="486">
        <f t="shared" si="14"/>
        <v>2147236.3589280685</v>
      </c>
      <c r="G33" s="487">
        <f t="shared" si="15"/>
        <v>328354.12002032879</v>
      </c>
      <c r="H33" s="456">
        <f t="shared" si="16"/>
        <v>328354.12002032879</v>
      </c>
      <c r="I33" s="476">
        <f t="shared" si="0"/>
        <v>0</v>
      </c>
      <c r="J33" s="476"/>
      <c r="K33" s="488"/>
      <c r="L33" s="479">
        <f t="shared" si="2"/>
        <v>0</v>
      </c>
      <c r="M33" s="488"/>
      <c r="N33" s="479">
        <f t="shared" si="4"/>
        <v>0</v>
      </c>
      <c r="O33" s="479">
        <f t="shared" si="5"/>
        <v>0</v>
      </c>
      <c r="P33" s="243"/>
    </row>
    <row r="34" spans="2:16" ht="12.5">
      <c r="B34" s="160" t="str">
        <f t="shared" si="6"/>
        <v/>
      </c>
      <c r="C34" s="473">
        <f>IF(D11="","-",+C33+1)</f>
        <v>2029</v>
      </c>
      <c r="D34" s="486">
        <f>IF(F33+SUM(E$17:E33)=D$10,F33,D$10-SUM(E$17:E33))</f>
        <v>2147236.3589280685</v>
      </c>
      <c r="E34" s="485">
        <f>IF(+I14&lt;F33,I14,D34)</f>
        <v>76878.305581395354</v>
      </c>
      <c r="F34" s="486">
        <f t="shared" si="14"/>
        <v>2070358.0533466733</v>
      </c>
      <c r="G34" s="487">
        <f t="shared" si="15"/>
        <v>319508.78391937958</v>
      </c>
      <c r="H34" s="456">
        <f t="shared" si="16"/>
        <v>319508.78391937958</v>
      </c>
      <c r="I34" s="476">
        <f t="shared" si="0"/>
        <v>0</v>
      </c>
      <c r="J34" s="476"/>
      <c r="K34" s="488"/>
      <c r="L34" s="479">
        <f t="shared" si="2"/>
        <v>0</v>
      </c>
      <c r="M34" s="488"/>
      <c r="N34" s="479">
        <f t="shared" si="4"/>
        <v>0</v>
      </c>
      <c r="O34" s="479">
        <f t="shared" si="5"/>
        <v>0</v>
      </c>
      <c r="P34" s="243"/>
    </row>
    <row r="35" spans="2:16" ht="12.5">
      <c r="B35" s="160" t="str">
        <f t="shared" si="6"/>
        <v/>
      </c>
      <c r="C35" s="473">
        <f>IF(D11="","-",+C34+1)</f>
        <v>2030</v>
      </c>
      <c r="D35" s="486">
        <f>IF(F34+SUM(E$17:E34)=D$10,F34,D$10-SUM(E$17:E34))</f>
        <v>2070358.0533466733</v>
      </c>
      <c r="E35" s="485">
        <f>IF(+I14&lt;F34,I14,D35)</f>
        <v>76878.305581395354</v>
      </c>
      <c r="F35" s="486">
        <f t="shared" si="14"/>
        <v>1993479.747765278</v>
      </c>
      <c r="G35" s="487">
        <f t="shared" si="15"/>
        <v>310663.44781843043</v>
      </c>
      <c r="H35" s="456">
        <f t="shared" si="16"/>
        <v>310663.44781843043</v>
      </c>
      <c r="I35" s="476">
        <f t="shared" si="0"/>
        <v>0</v>
      </c>
      <c r="J35" s="476"/>
      <c r="K35" s="488"/>
      <c r="L35" s="479">
        <f t="shared" si="2"/>
        <v>0</v>
      </c>
      <c r="M35" s="488"/>
      <c r="N35" s="479">
        <f t="shared" si="4"/>
        <v>0</v>
      </c>
      <c r="O35" s="479">
        <f t="shared" si="5"/>
        <v>0</v>
      </c>
      <c r="P35" s="243"/>
    </row>
    <row r="36" spans="2:16" ht="12.5">
      <c r="B36" s="160" t="str">
        <f t="shared" si="6"/>
        <v/>
      </c>
      <c r="C36" s="473">
        <f>IF(D11="","-",+C35+1)</f>
        <v>2031</v>
      </c>
      <c r="D36" s="486">
        <f>IF(F35+SUM(E$17:E35)=D$10,F35,D$10-SUM(E$17:E35))</f>
        <v>1993479.747765278</v>
      </c>
      <c r="E36" s="485">
        <f>IF(+I14&lt;F35,I14,D36)</f>
        <v>76878.305581395354</v>
      </c>
      <c r="F36" s="486">
        <f t="shared" si="14"/>
        <v>1916601.4421838827</v>
      </c>
      <c r="G36" s="487">
        <f t="shared" si="15"/>
        <v>301818.11171748122</v>
      </c>
      <c r="H36" s="456">
        <f t="shared" si="16"/>
        <v>301818.11171748122</v>
      </c>
      <c r="I36" s="476">
        <f t="shared" si="0"/>
        <v>0</v>
      </c>
      <c r="J36" s="476"/>
      <c r="K36" s="488"/>
      <c r="L36" s="479">
        <f t="shared" si="2"/>
        <v>0</v>
      </c>
      <c r="M36" s="488"/>
      <c r="N36" s="479">
        <f t="shared" si="4"/>
        <v>0</v>
      </c>
      <c r="O36" s="479">
        <f t="shared" si="5"/>
        <v>0</v>
      </c>
      <c r="P36" s="243"/>
    </row>
    <row r="37" spans="2:16" ht="12.5">
      <c r="B37" s="160" t="str">
        <f t="shared" si="6"/>
        <v/>
      </c>
      <c r="C37" s="473">
        <f>IF(D11="","-",+C36+1)</f>
        <v>2032</v>
      </c>
      <c r="D37" s="486">
        <f>IF(F36+SUM(E$17:E36)=D$10,F36,D$10-SUM(E$17:E36))</f>
        <v>1916601.4421838827</v>
      </c>
      <c r="E37" s="485">
        <f>IF(+I14&lt;F36,I14,D37)</f>
        <v>76878.305581395354</v>
      </c>
      <c r="F37" s="486">
        <f t="shared" si="14"/>
        <v>1839723.1366024874</v>
      </c>
      <c r="G37" s="487">
        <f t="shared" si="15"/>
        <v>292972.77561653208</v>
      </c>
      <c r="H37" s="456">
        <f t="shared" si="16"/>
        <v>292972.77561653208</v>
      </c>
      <c r="I37" s="476">
        <f t="shared" si="0"/>
        <v>0</v>
      </c>
      <c r="J37" s="476"/>
      <c r="K37" s="488"/>
      <c r="L37" s="479">
        <f t="shared" si="2"/>
        <v>0</v>
      </c>
      <c r="M37" s="488"/>
      <c r="N37" s="479">
        <f t="shared" si="4"/>
        <v>0</v>
      </c>
      <c r="O37" s="479">
        <f t="shared" si="5"/>
        <v>0</v>
      </c>
      <c r="P37" s="243"/>
    </row>
    <row r="38" spans="2:16" ht="12.5">
      <c r="B38" s="160" t="str">
        <f t="shared" si="6"/>
        <v/>
      </c>
      <c r="C38" s="473">
        <f>IF(D11="","-",+C37+1)</f>
        <v>2033</v>
      </c>
      <c r="D38" s="486">
        <f>IF(F37+SUM(E$17:E37)=D$10,F37,D$10-SUM(E$17:E37))</f>
        <v>1839723.1366024874</v>
      </c>
      <c r="E38" s="485">
        <f>IF(+I14&lt;F37,I14,D38)</f>
        <v>76878.305581395354</v>
      </c>
      <c r="F38" s="486">
        <f t="shared" si="14"/>
        <v>1762844.8310210921</v>
      </c>
      <c r="G38" s="487">
        <f t="shared" si="15"/>
        <v>284127.43951558287</v>
      </c>
      <c r="H38" s="456">
        <f t="shared" si="16"/>
        <v>284127.43951558287</v>
      </c>
      <c r="I38" s="476">
        <f t="shared" si="0"/>
        <v>0</v>
      </c>
      <c r="J38" s="476"/>
      <c r="K38" s="488"/>
      <c r="L38" s="479">
        <f t="shared" si="2"/>
        <v>0</v>
      </c>
      <c r="M38" s="488"/>
      <c r="N38" s="479">
        <f t="shared" si="4"/>
        <v>0</v>
      </c>
      <c r="O38" s="479">
        <f t="shared" si="5"/>
        <v>0</v>
      </c>
      <c r="P38" s="243"/>
    </row>
    <row r="39" spans="2:16" ht="12.5">
      <c r="B39" s="160" t="str">
        <f t="shared" si="6"/>
        <v/>
      </c>
      <c r="C39" s="473">
        <f>IF(D11="","-",+C38+1)</f>
        <v>2034</v>
      </c>
      <c r="D39" s="486">
        <f>IF(F38+SUM(E$17:E38)=D$10,F38,D$10-SUM(E$17:E38))</f>
        <v>1762844.8310210921</v>
      </c>
      <c r="E39" s="485">
        <f>IF(+I14&lt;F38,I14,D39)</f>
        <v>76878.305581395354</v>
      </c>
      <c r="F39" s="486">
        <f t="shared" si="14"/>
        <v>1685966.5254396969</v>
      </c>
      <c r="G39" s="487">
        <f t="shared" si="15"/>
        <v>275282.10341463366</v>
      </c>
      <c r="H39" s="456">
        <f t="shared" si="16"/>
        <v>275282.10341463366</v>
      </c>
      <c r="I39" s="476">
        <f t="shared" si="0"/>
        <v>0</v>
      </c>
      <c r="J39" s="476"/>
      <c r="K39" s="488"/>
      <c r="L39" s="479">
        <f t="shared" si="2"/>
        <v>0</v>
      </c>
      <c r="M39" s="488"/>
      <c r="N39" s="479">
        <f t="shared" si="4"/>
        <v>0</v>
      </c>
      <c r="O39" s="479">
        <f t="shared" si="5"/>
        <v>0</v>
      </c>
      <c r="P39" s="243"/>
    </row>
    <row r="40" spans="2:16" ht="12.5">
      <c r="B40" s="160" t="str">
        <f t="shared" si="6"/>
        <v/>
      </c>
      <c r="C40" s="473">
        <f>IF(D11="","-",+C39+1)</f>
        <v>2035</v>
      </c>
      <c r="D40" s="486">
        <f>IF(F39+SUM(E$17:E39)=D$10,F39,D$10-SUM(E$17:E39))</f>
        <v>1685966.5254396969</v>
      </c>
      <c r="E40" s="485">
        <f>IF(+I14&lt;F39,I14,D40)</f>
        <v>76878.305581395354</v>
      </c>
      <c r="F40" s="486">
        <f t="shared" si="14"/>
        <v>1609088.2198583016</v>
      </c>
      <c r="G40" s="487">
        <f t="shared" si="15"/>
        <v>266436.76731368445</v>
      </c>
      <c r="H40" s="456">
        <f t="shared" si="16"/>
        <v>266436.76731368445</v>
      </c>
      <c r="I40" s="476">
        <f t="shared" si="0"/>
        <v>0</v>
      </c>
      <c r="J40" s="476"/>
      <c r="K40" s="488"/>
      <c r="L40" s="479">
        <f t="shared" si="2"/>
        <v>0</v>
      </c>
      <c r="M40" s="488"/>
      <c r="N40" s="479">
        <f t="shared" si="4"/>
        <v>0</v>
      </c>
      <c r="O40" s="479">
        <f t="shared" si="5"/>
        <v>0</v>
      </c>
      <c r="P40" s="243"/>
    </row>
    <row r="41" spans="2:16" ht="12.5">
      <c r="B41" s="160" t="str">
        <f t="shared" si="6"/>
        <v/>
      </c>
      <c r="C41" s="473">
        <f>IF(D11="","-",+C40+1)</f>
        <v>2036</v>
      </c>
      <c r="D41" s="486">
        <f>IF(F40+SUM(E$17:E40)=D$10,F40,D$10-SUM(E$17:E40))</f>
        <v>1609088.2198583016</v>
      </c>
      <c r="E41" s="485">
        <f>IF(+I14&lt;F40,I14,D41)</f>
        <v>76878.305581395354</v>
      </c>
      <c r="F41" s="486">
        <f t="shared" si="14"/>
        <v>1532209.9142769063</v>
      </c>
      <c r="G41" s="487">
        <f t="shared" si="15"/>
        <v>257591.4312127353</v>
      </c>
      <c r="H41" s="456">
        <f t="shared" si="16"/>
        <v>257591.4312127353</v>
      </c>
      <c r="I41" s="476">
        <f t="shared" si="0"/>
        <v>0</v>
      </c>
      <c r="J41" s="476"/>
      <c r="K41" s="488"/>
      <c r="L41" s="479">
        <f t="shared" si="2"/>
        <v>0</v>
      </c>
      <c r="M41" s="488"/>
      <c r="N41" s="479">
        <f t="shared" si="4"/>
        <v>0</v>
      </c>
      <c r="O41" s="479">
        <f t="shared" si="5"/>
        <v>0</v>
      </c>
      <c r="P41" s="243"/>
    </row>
    <row r="42" spans="2:16" ht="12.5">
      <c r="B42" s="160" t="str">
        <f t="shared" si="6"/>
        <v/>
      </c>
      <c r="C42" s="473">
        <f>IF(D11="","-",+C41+1)</f>
        <v>2037</v>
      </c>
      <c r="D42" s="486">
        <f>IF(F41+SUM(E$17:E41)=D$10,F41,D$10-SUM(E$17:E41))</f>
        <v>1532209.9142769063</v>
      </c>
      <c r="E42" s="485">
        <f>IF(+I14&lt;F41,I14,D42)</f>
        <v>76878.305581395354</v>
      </c>
      <c r="F42" s="486">
        <f t="shared" si="14"/>
        <v>1455331.608695511</v>
      </c>
      <c r="G42" s="487">
        <f t="shared" si="15"/>
        <v>248746.0951117861</v>
      </c>
      <c r="H42" s="456">
        <f t="shared" si="16"/>
        <v>248746.0951117861</v>
      </c>
      <c r="I42" s="476">
        <f t="shared" si="0"/>
        <v>0</v>
      </c>
      <c r="J42" s="476"/>
      <c r="K42" s="488"/>
      <c r="L42" s="479">
        <f t="shared" si="2"/>
        <v>0</v>
      </c>
      <c r="M42" s="488"/>
      <c r="N42" s="479">
        <f t="shared" si="4"/>
        <v>0</v>
      </c>
      <c r="O42" s="479">
        <f t="shared" si="5"/>
        <v>0</v>
      </c>
      <c r="P42" s="243"/>
    </row>
    <row r="43" spans="2:16" ht="12.5">
      <c r="B43" s="160" t="str">
        <f t="shared" si="6"/>
        <v/>
      </c>
      <c r="C43" s="473">
        <f>IF(D11="","-",+C42+1)</f>
        <v>2038</v>
      </c>
      <c r="D43" s="486">
        <f>IF(F42+SUM(E$17:E42)=D$10,F42,D$10-SUM(E$17:E42))</f>
        <v>1455331.608695511</v>
      </c>
      <c r="E43" s="485">
        <f>IF(+I14&lt;F42,I14,D43)</f>
        <v>76878.305581395354</v>
      </c>
      <c r="F43" s="486">
        <f t="shared" si="14"/>
        <v>1378453.3031141157</v>
      </c>
      <c r="G43" s="487">
        <f t="shared" si="15"/>
        <v>239900.75901083695</v>
      </c>
      <c r="H43" s="456">
        <f t="shared" si="16"/>
        <v>239900.75901083695</v>
      </c>
      <c r="I43" s="476">
        <f t="shared" si="0"/>
        <v>0</v>
      </c>
      <c r="J43" s="476"/>
      <c r="K43" s="488"/>
      <c r="L43" s="479">
        <f t="shared" si="2"/>
        <v>0</v>
      </c>
      <c r="M43" s="488"/>
      <c r="N43" s="479">
        <f t="shared" si="4"/>
        <v>0</v>
      </c>
      <c r="O43" s="479">
        <f t="shared" si="5"/>
        <v>0</v>
      </c>
      <c r="P43" s="243"/>
    </row>
    <row r="44" spans="2:16" ht="12.5">
      <c r="B44" s="160" t="str">
        <f t="shared" si="6"/>
        <v/>
      </c>
      <c r="C44" s="473">
        <f>IF(D11="","-",+C43+1)</f>
        <v>2039</v>
      </c>
      <c r="D44" s="486">
        <f>IF(F43+SUM(E$17:E43)=D$10,F43,D$10-SUM(E$17:E43))</f>
        <v>1378453.3031141157</v>
      </c>
      <c r="E44" s="485">
        <f>IF(+I14&lt;F43,I14,D44)</f>
        <v>76878.305581395354</v>
      </c>
      <c r="F44" s="486">
        <f t="shared" si="14"/>
        <v>1301574.9975327204</v>
      </c>
      <c r="G44" s="487">
        <f t="shared" si="15"/>
        <v>231055.42290988774</v>
      </c>
      <c r="H44" s="456">
        <f t="shared" si="16"/>
        <v>231055.42290988774</v>
      </c>
      <c r="I44" s="476">
        <f t="shared" si="0"/>
        <v>0</v>
      </c>
      <c r="J44" s="476"/>
      <c r="K44" s="488"/>
      <c r="L44" s="479">
        <f t="shared" si="2"/>
        <v>0</v>
      </c>
      <c r="M44" s="488"/>
      <c r="N44" s="479">
        <f t="shared" si="4"/>
        <v>0</v>
      </c>
      <c r="O44" s="479">
        <f t="shared" si="5"/>
        <v>0</v>
      </c>
      <c r="P44" s="243"/>
    </row>
    <row r="45" spans="2:16" ht="12.5">
      <c r="B45" s="160" t="str">
        <f t="shared" si="6"/>
        <v/>
      </c>
      <c r="C45" s="473">
        <f>IF(D11="","-",+C44+1)</f>
        <v>2040</v>
      </c>
      <c r="D45" s="486">
        <f>IF(F44+SUM(E$17:E44)=D$10,F44,D$10-SUM(E$17:E44))</f>
        <v>1301574.9975327204</v>
      </c>
      <c r="E45" s="485">
        <f>IF(+I14&lt;F44,I14,D45)</f>
        <v>76878.305581395354</v>
      </c>
      <c r="F45" s="486">
        <f t="shared" si="14"/>
        <v>1224696.6919513252</v>
      </c>
      <c r="G45" s="487">
        <f t="shared" si="15"/>
        <v>222210.08680893859</v>
      </c>
      <c r="H45" s="456">
        <f t="shared" si="16"/>
        <v>222210.08680893859</v>
      </c>
      <c r="I45" s="476">
        <f t="shared" si="0"/>
        <v>0</v>
      </c>
      <c r="J45" s="476"/>
      <c r="K45" s="488"/>
      <c r="L45" s="479">
        <f t="shared" si="2"/>
        <v>0</v>
      </c>
      <c r="M45" s="488"/>
      <c r="N45" s="479">
        <f t="shared" si="4"/>
        <v>0</v>
      </c>
      <c r="O45" s="479">
        <f t="shared" si="5"/>
        <v>0</v>
      </c>
      <c r="P45" s="243"/>
    </row>
    <row r="46" spans="2:16" ht="12.5">
      <c r="B46" s="160" t="str">
        <f t="shared" si="6"/>
        <v/>
      </c>
      <c r="C46" s="473">
        <f>IF(D11="","-",+C45+1)</f>
        <v>2041</v>
      </c>
      <c r="D46" s="486">
        <f>IF(F45+SUM(E$17:E45)=D$10,F45,D$10-SUM(E$17:E45))</f>
        <v>1224696.6919513252</v>
      </c>
      <c r="E46" s="485">
        <f>IF(+I14&lt;F45,I14,D46)</f>
        <v>76878.305581395354</v>
      </c>
      <c r="F46" s="486">
        <f t="shared" si="14"/>
        <v>1147818.3863699299</v>
      </c>
      <c r="G46" s="487">
        <f t="shared" si="15"/>
        <v>213364.75070798938</v>
      </c>
      <c r="H46" s="456">
        <f t="shared" si="16"/>
        <v>213364.75070798938</v>
      </c>
      <c r="I46" s="476">
        <f t="shared" si="0"/>
        <v>0</v>
      </c>
      <c r="J46" s="476"/>
      <c r="K46" s="488"/>
      <c r="L46" s="479">
        <f t="shared" si="2"/>
        <v>0</v>
      </c>
      <c r="M46" s="488"/>
      <c r="N46" s="479">
        <f t="shared" si="4"/>
        <v>0</v>
      </c>
      <c r="O46" s="479">
        <f t="shared" si="5"/>
        <v>0</v>
      </c>
      <c r="P46" s="243"/>
    </row>
    <row r="47" spans="2:16" ht="12.5">
      <c r="B47" s="160" t="str">
        <f t="shared" si="6"/>
        <v/>
      </c>
      <c r="C47" s="473">
        <f>IF(D11="","-",+C46+1)</f>
        <v>2042</v>
      </c>
      <c r="D47" s="486">
        <f>IF(F46+SUM(E$17:E46)=D$10,F46,D$10-SUM(E$17:E46))</f>
        <v>1147818.3863699299</v>
      </c>
      <c r="E47" s="485">
        <f>IF(+I14&lt;F46,I14,D47)</f>
        <v>76878.305581395354</v>
      </c>
      <c r="F47" s="486">
        <f t="shared" si="14"/>
        <v>1070940.0807885346</v>
      </c>
      <c r="G47" s="487">
        <f t="shared" si="15"/>
        <v>204519.41460704023</v>
      </c>
      <c r="H47" s="456">
        <f t="shared" si="16"/>
        <v>204519.41460704023</v>
      </c>
      <c r="I47" s="476">
        <f t="shared" si="0"/>
        <v>0</v>
      </c>
      <c r="J47" s="476"/>
      <c r="K47" s="488"/>
      <c r="L47" s="479">
        <f t="shared" si="2"/>
        <v>0</v>
      </c>
      <c r="M47" s="488"/>
      <c r="N47" s="479">
        <f t="shared" si="4"/>
        <v>0</v>
      </c>
      <c r="O47" s="479">
        <f t="shared" si="5"/>
        <v>0</v>
      </c>
      <c r="P47" s="243"/>
    </row>
    <row r="48" spans="2:16" ht="12.5">
      <c r="B48" s="160" t="str">
        <f t="shared" si="6"/>
        <v/>
      </c>
      <c r="C48" s="473">
        <f>IF(D11="","-",+C47+1)</f>
        <v>2043</v>
      </c>
      <c r="D48" s="486">
        <f>IF(F47+SUM(E$17:E47)=D$10,F47,D$10-SUM(E$17:E47))</f>
        <v>1070940.0807885346</v>
      </c>
      <c r="E48" s="485">
        <f>IF(+I14&lt;F47,I14,D48)</f>
        <v>76878.305581395354</v>
      </c>
      <c r="F48" s="486">
        <f t="shared" si="14"/>
        <v>994061.7752071392</v>
      </c>
      <c r="G48" s="487">
        <f t="shared" si="15"/>
        <v>195674.07850609103</v>
      </c>
      <c r="H48" s="456">
        <f t="shared" si="16"/>
        <v>195674.07850609103</v>
      </c>
      <c r="I48" s="476">
        <f t="shared" si="0"/>
        <v>0</v>
      </c>
      <c r="J48" s="476"/>
      <c r="K48" s="488"/>
      <c r="L48" s="479">
        <f t="shared" si="2"/>
        <v>0</v>
      </c>
      <c r="M48" s="488"/>
      <c r="N48" s="479">
        <f t="shared" si="4"/>
        <v>0</v>
      </c>
      <c r="O48" s="479">
        <f t="shared" si="5"/>
        <v>0</v>
      </c>
      <c r="P48" s="243"/>
    </row>
    <row r="49" spans="2:16" ht="12.5">
      <c r="B49" s="160" t="str">
        <f t="shared" si="6"/>
        <v/>
      </c>
      <c r="C49" s="473">
        <f>IF(D11="","-",+C48+1)</f>
        <v>2044</v>
      </c>
      <c r="D49" s="486">
        <f>IF(F48+SUM(E$17:E48)=D$10,F48,D$10-SUM(E$17:E48))</f>
        <v>994061.7752071392</v>
      </c>
      <c r="E49" s="485">
        <f>IF(+I14&lt;F48,I14,D49)</f>
        <v>76878.305581395354</v>
      </c>
      <c r="F49" s="486">
        <f t="shared" ref="F49:F72" si="17">+D49-E49</f>
        <v>917183.4696257438</v>
      </c>
      <c r="G49" s="487">
        <f t="shared" si="15"/>
        <v>186828.74240514185</v>
      </c>
      <c r="H49" s="456">
        <f t="shared" si="16"/>
        <v>186828.74240514185</v>
      </c>
      <c r="I49" s="476">
        <f t="shared" ref="I49:I72" si="18">H49-G49</f>
        <v>0</v>
      </c>
      <c r="J49" s="476"/>
      <c r="K49" s="488"/>
      <c r="L49" s="479">
        <f t="shared" ref="L49:L72" si="19">IF(K49&lt;&gt;0,+G49-K49,0)</f>
        <v>0</v>
      </c>
      <c r="M49" s="488"/>
      <c r="N49" s="479">
        <f t="shared" ref="N49:N72" si="20">IF(M49&lt;&gt;0,+H49-M49,0)</f>
        <v>0</v>
      </c>
      <c r="O49" s="479">
        <f t="shared" ref="O49:O72" si="21">+N49-L49</f>
        <v>0</v>
      </c>
      <c r="P49" s="243"/>
    </row>
    <row r="50" spans="2:16" ht="12.5">
      <c r="B50" s="160" t="str">
        <f t="shared" ref="B50:B72" si="22">IF(D50=F49,"","IU")</f>
        <v/>
      </c>
      <c r="C50" s="473">
        <f>IF(D11="","-",+C49+1)</f>
        <v>2045</v>
      </c>
      <c r="D50" s="486">
        <f>IF(F49+SUM(E$17:E49)=D$10,F49,D$10-SUM(E$17:E49))</f>
        <v>917183.4696257438</v>
      </c>
      <c r="E50" s="485">
        <f>IF(+I14&lt;F49,I14,D50)</f>
        <v>76878.305581395354</v>
      </c>
      <c r="F50" s="486">
        <f t="shared" si="17"/>
        <v>840305.16404434841</v>
      </c>
      <c r="G50" s="487">
        <f t="shared" si="15"/>
        <v>177983.40630419264</v>
      </c>
      <c r="H50" s="456">
        <f t="shared" si="16"/>
        <v>177983.40630419264</v>
      </c>
      <c r="I50" s="476">
        <f t="shared" si="18"/>
        <v>0</v>
      </c>
      <c r="J50" s="476"/>
      <c r="K50" s="488"/>
      <c r="L50" s="479">
        <f t="shared" si="19"/>
        <v>0</v>
      </c>
      <c r="M50" s="488"/>
      <c r="N50" s="479">
        <f t="shared" si="20"/>
        <v>0</v>
      </c>
      <c r="O50" s="479">
        <f t="shared" si="21"/>
        <v>0</v>
      </c>
      <c r="P50" s="243"/>
    </row>
    <row r="51" spans="2:16" ht="12.5">
      <c r="B51" s="160" t="str">
        <f t="shared" si="22"/>
        <v/>
      </c>
      <c r="C51" s="473">
        <f>IF(D11="","-",+C50+1)</f>
        <v>2046</v>
      </c>
      <c r="D51" s="486">
        <f>IF(F50+SUM(E$17:E50)=D$10,F50,D$10-SUM(E$17:E50))</f>
        <v>840305.16404434841</v>
      </c>
      <c r="E51" s="485">
        <f>IF(+I14&lt;F50,I14,D51)</f>
        <v>76878.305581395354</v>
      </c>
      <c r="F51" s="486">
        <f t="shared" si="17"/>
        <v>763426.85846295301</v>
      </c>
      <c r="G51" s="487">
        <f t="shared" si="15"/>
        <v>169138.07020324346</v>
      </c>
      <c r="H51" s="456">
        <f t="shared" si="16"/>
        <v>169138.07020324346</v>
      </c>
      <c r="I51" s="476">
        <f t="shared" si="18"/>
        <v>0</v>
      </c>
      <c r="J51" s="476"/>
      <c r="K51" s="488"/>
      <c r="L51" s="479">
        <f t="shared" si="19"/>
        <v>0</v>
      </c>
      <c r="M51" s="488"/>
      <c r="N51" s="479">
        <f t="shared" si="20"/>
        <v>0</v>
      </c>
      <c r="O51" s="479">
        <f t="shared" si="21"/>
        <v>0</v>
      </c>
      <c r="P51" s="243"/>
    </row>
    <row r="52" spans="2:16" ht="12.5">
      <c r="B52" s="160" t="str">
        <f t="shared" si="22"/>
        <v/>
      </c>
      <c r="C52" s="473">
        <f>IF(D11="","-",+C51+1)</f>
        <v>2047</v>
      </c>
      <c r="D52" s="486">
        <f>IF(F51+SUM(E$17:E51)=D$10,F51,D$10-SUM(E$17:E51))</f>
        <v>763426.85846295301</v>
      </c>
      <c r="E52" s="485">
        <f>IF(+I14&lt;F51,I14,D52)</f>
        <v>76878.305581395354</v>
      </c>
      <c r="F52" s="486">
        <f t="shared" si="17"/>
        <v>686548.55288155761</v>
      </c>
      <c r="G52" s="487">
        <f t="shared" si="15"/>
        <v>160292.73410229426</v>
      </c>
      <c r="H52" s="456">
        <f t="shared" si="16"/>
        <v>160292.73410229426</v>
      </c>
      <c r="I52" s="476">
        <f t="shared" si="18"/>
        <v>0</v>
      </c>
      <c r="J52" s="476"/>
      <c r="K52" s="488"/>
      <c r="L52" s="479">
        <f t="shared" si="19"/>
        <v>0</v>
      </c>
      <c r="M52" s="488"/>
      <c r="N52" s="479">
        <f t="shared" si="20"/>
        <v>0</v>
      </c>
      <c r="O52" s="479">
        <f t="shared" si="21"/>
        <v>0</v>
      </c>
      <c r="P52" s="243"/>
    </row>
    <row r="53" spans="2:16" ht="12.5">
      <c r="B53" s="160" t="str">
        <f t="shared" si="22"/>
        <v/>
      </c>
      <c r="C53" s="473">
        <f>IF(D11="","-",+C52+1)</f>
        <v>2048</v>
      </c>
      <c r="D53" s="486">
        <f>IF(F52+SUM(E$17:E52)=D$10,F52,D$10-SUM(E$17:E52))</f>
        <v>686548.55288155761</v>
      </c>
      <c r="E53" s="485">
        <f>IF(+I14&lt;F52,I14,D53)</f>
        <v>76878.305581395354</v>
      </c>
      <c r="F53" s="486">
        <f t="shared" si="17"/>
        <v>609670.24730016221</v>
      </c>
      <c r="G53" s="487">
        <f t="shared" si="15"/>
        <v>151447.39800134505</v>
      </c>
      <c r="H53" s="456">
        <f t="shared" si="16"/>
        <v>151447.39800134505</v>
      </c>
      <c r="I53" s="476">
        <f t="shared" si="18"/>
        <v>0</v>
      </c>
      <c r="J53" s="476"/>
      <c r="K53" s="488"/>
      <c r="L53" s="479">
        <f t="shared" si="19"/>
        <v>0</v>
      </c>
      <c r="M53" s="488"/>
      <c r="N53" s="479">
        <f t="shared" si="20"/>
        <v>0</v>
      </c>
      <c r="O53" s="479">
        <f t="shared" si="21"/>
        <v>0</v>
      </c>
      <c r="P53" s="243"/>
    </row>
    <row r="54" spans="2:16" ht="12.5">
      <c r="B54" s="160" t="str">
        <f t="shared" si="22"/>
        <v/>
      </c>
      <c r="C54" s="473">
        <f>IF(D11="","-",+C53+1)</f>
        <v>2049</v>
      </c>
      <c r="D54" s="486">
        <f>IF(F53+SUM(E$17:E53)=D$10,F53,D$10-SUM(E$17:E53))</f>
        <v>609670.24730016221</v>
      </c>
      <c r="E54" s="485">
        <f>IF(+I14&lt;F53,I14,D54)</f>
        <v>76878.305581395354</v>
      </c>
      <c r="F54" s="486">
        <f t="shared" si="17"/>
        <v>532791.94171876682</v>
      </c>
      <c r="G54" s="487">
        <f t="shared" si="15"/>
        <v>142602.06190039584</v>
      </c>
      <c r="H54" s="456">
        <f t="shared" si="16"/>
        <v>142602.06190039584</v>
      </c>
      <c r="I54" s="476">
        <f t="shared" si="18"/>
        <v>0</v>
      </c>
      <c r="J54" s="476"/>
      <c r="K54" s="488"/>
      <c r="L54" s="479">
        <f t="shared" si="19"/>
        <v>0</v>
      </c>
      <c r="M54" s="488"/>
      <c r="N54" s="479">
        <f t="shared" si="20"/>
        <v>0</v>
      </c>
      <c r="O54" s="479">
        <f t="shared" si="21"/>
        <v>0</v>
      </c>
      <c r="P54" s="243"/>
    </row>
    <row r="55" spans="2:16" ht="12.5">
      <c r="B55" s="160" t="str">
        <f t="shared" si="22"/>
        <v/>
      </c>
      <c r="C55" s="473">
        <f>IF(D11="","-",+C54+1)</f>
        <v>2050</v>
      </c>
      <c r="D55" s="486">
        <f>IF(F54+SUM(E$17:E54)=D$10,F54,D$10-SUM(E$17:E54))</f>
        <v>532791.94171876682</v>
      </c>
      <c r="E55" s="485">
        <f>IF(+I14&lt;F54,I14,D55)</f>
        <v>76878.305581395354</v>
      </c>
      <c r="F55" s="486">
        <f t="shared" si="17"/>
        <v>455913.63613737148</v>
      </c>
      <c r="G55" s="487">
        <f t="shared" si="15"/>
        <v>133756.72579944669</v>
      </c>
      <c r="H55" s="456">
        <f t="shared" si="16"/>
        <v>133756.72579944669</v>
      </c>
      <c r="I55" s="476">
        <f t="shared" si="18"/>
        <v>0</v>
      </c>
      <c r="J55" s="476"/>
      <c r="K55" s="488"/>
      <c r="L55" s="479">
        <f t="shared" si="19"/>
        <v>0</v>
      </c>
      <c r="M55" s="488"/>
      <c r="N55" s="479">
        <f t="shared" si="20"/>
        <v>0</v>
      </c>
      <c r="O55" s="479">
        <f t="shared" si="21"/>
        <v>0</v>
      </c>
      <c r="P55" s="243"/>
    </row>
    <row r="56" spans="2:16" ht="12.5">
      <c r="B56" s="160" t="str">
        <f t="shared" si="22"/>
        <v/>
      </c>
      <c r="C56" s="473">
        <f>IF(D11="","-",+C55+1)</f>
        <v>2051</v>
      </c>
      <c r="D56" s="486">
        <f>IF(F55+SUM(E$17:E55)=D$10,F55,D$10-SUM(E$17:E55))</f>
        <v>455913.63613737148</v>
      </c>
      <c r="E56" s="485">
        <f>IF(+I14&lt;F55,I14,D56)</f>
        <v>76878.305581395354</v>
      </c>
      <c r="F56" s="486">
        <f t="shared" si="17"/>
        <v>379035.33055597614</v>
      </c>
      <c r="G56" s="487">
        <f t="shared" si="15"/>
        <v>124911.38969849749</v>
      </c>
      <c r="H56" s="456">
        <f t="shared" si="16"/>
        <v>124911.38969849749</v>
      </c>
      <c r="I56" s="476">
        <f t="shared" si="18"/>
        <v>0</v>
      </c>
      <c r="J56" s="476"/>
      <c r="K56" s="488"/>
      <c r="L56" s="479">
        <f t="shared" si="19"/>
        <v>0</v>
      </c>
      <c r="M56" s="488"/>
      <c r="N56" s="479">
        <f t="shared" si="20"/>
        <v>0</v>
      </c>
      <c r="O56" s="479">
        <f t="shared" si="21"/>
        <v>0</v>
      </c>
      <c r="P56" s="243"/>
    </row>
    <row r="57" spans="2:16" ht="12.5">
      <c r="B57" s="160" t="str">
        <f t="shared" si="22"/>
        <v/>
      </c>
      <c r="C57" s="473">
        <f>IF(D11="","-",+C56+1)</f>
        <v>2052</v>
      </c>
      <c r="D57" s="486">
        <f>IF(F56+SUM(E$17:E56)=D$10,F56,D$10-SUM(E$17:E56))</f>
        <v>379035.33055597614</v>
      </c>
      <c r="E57" s="485">
        <f>IF(+I14&lt;F56,I14,D57)</f>
        <v>76878.305581395354</v>
      </c>
      <c r="F57" s="486">
        <f t="shared" si="17"/>
        <v>302157.0249745808</v>
      </c>
      <c r="G57" s="487">
        <f t="shared" si="15"/>
        <v>116066.05359754831</v>
      </c>
      <c r="H57" s="456">
        <f t="shared" si="16"/>
        <v>116066.05359754831</v>
      </c>
      <c r="I57" s="476">
        <f t="shared" si="18"/>
        <v>0</v>
      </c>
      <c r="J57" s="476"/>
      <c r="K57" s="488"/>
      <c r="L57" s="479">
        <f t="shared" si="19"/>
        <v>0</v>
      </c>
      <c r="M57" s="488"/>
      <c r="N57" s="479">
        <f t="shared" si="20"/>
        <v>0</v>
      </c>
      <c r="O57" s="479">
        <f t="shared" si="21"/>
        <v>0</v>
      </c>
      <c r="P57" s="243"/>
    </row>
    <row r="58" spans="2:16" ht="12.5">
      <c r="B58" s="160" t="str">
        <f t="shared" si="22"/>
        <v/>
      </c>
      <c r="C58" s="473">
        <f>IF(D11="","-",+C57+1)</f>
        <v>2053</v>
      </c>
      <c r="D58" s="486">
        <f>IF(F57+SUM(E$17:E57)=D$10,F57,D$10-SUM(E$17:E57))</f>
        <v>302157.0249745808</v>
      </c>
      <c r="E58" s="485">
        <f>IF(+I14&lt;F57,I14,D58)</f>
        <v>76878.305581395354</v>
      </c>
      <c r="F58" s="486">
        <f t="shared" si="17"/>
        <v>225278.71939318546</v>
      </c>
      <c r="G58" s="487">
        <f t="shared" si="15"/>
        <v>107220.7174965991</v>
      </c>
      <c r="H58" s="456">
        <f t="shared" si="16"/>
        <v>107220.7174965991</v>
      </c>
      <c r="I58" s="476">
        <f t="shared" si="18"/>
        <v>0</v>
      </c>
      <c r="J58" s="476"/>
      <c r="K58" s="488"/>
      <c r="L58" s="479">
        <f t="shared" si="19"/>
        <v>0</v>
      </c>
      <c r="M58" s="488"/>
      <c r="N58" s="479">
        <f t="shared" si="20"/>
        <v>0</v>
      </c>
      <c r="O58" s="479">
        <f t="shared" si="21"/>
        <v>0</v>
      </c>
      <c r="P58" s="243"/>
    </row>
    <row r="59" spans="2:16" ht="12.5">
      <c r="B59" s="160" t="str">
        <f t="shared" si="22"/>
        <v/>
      </c>
      <c r="C59" s="473">
        <f>IF(D11="","-",+C58+1)</f>
        <v>2054</v>
      </c>
      <c r="D59" s="486">
        <f>IF(F58+SUM(E$17:E58)=D$10,F58,D$10-SUM(E$17:E58))</f>
        <v>225278.71939318546</v>
      </c>
      <c r="E59" s="485">
        <f>IF(+I14&lt;F58,I14,D59)</f>
        <v>76878.305581395354</v>
      </c>
      <c r="F59" s="486">
        <f t="shared" si="17"/>
        <v>148400.41381179012</v>
      </c>
      <c r="G59" s="487">
        <f t="shared" si="15"/>
        <v>98375.381395649922</v>
      </c>
      <c r="H59" s="456">
        <f t="shared" si="16"/>
        <v>98375.381395649922</v>
      </c>
      <c r="I59" s="476">
        <f t="shared" si="18"/>
        <v>0</v>
      </c>
      <c r="J59" s="476"/>
      <c r="K59" s="488"/>
      <c r="L59" s="479">
        <f t="shared" si="19"/>
        <v>0</v>
      </c>
      <c r="M59" s="488"/>
      <c r="N59" s="479">
        <f t="shared" si="20"/>
        <v>0</v>
      </c>
      <c r="O59" s="479">
        <f t="shared" si="21"/>
        <v>0</v>
      </c>
      <c r="P59" s="243"/>
    </row>
    <row r="60" spans="2:16" ht="12.5">
      <c r="B60" s="160" t="str">
        <f t="shared" si="22"/>
        <v/>
      </c>
      <c r="C60" s="473">
        <f>IF(D11="","-",+C59+1)</f>
        <v>2055</v>
      </c>
      <c r="D60" s="486">
        <f>IF(F59+SUM(E$17:E59)=D$10,F59,D$10-SUM(E$17:E59))</f>
        <v>148400.41381179012</v>
      </c>
      <c r="E60" s="485">
        <f>IF(+I14&lt;F59,I14,D60)</f>
        <v>76878.305581395354</v>
      </c>
      <c r="F60" s="486">
        <f t="shared" si="17"/>
        <v>71522.108230394762</v>
      </c>
      <c r="G60" s="487">
        <f t="shared" si="15"/>
        <v>89530.045294700729</v>
      </c>
      <c r="H60" s="456">
        <f t="shared" si="16"/>
        <v>89530.045294700729</v>
      </c>
      <c r="I60" s="476">
        <f t="shared" si="18"/>
        <v>0</v>
      </c>
      <c r="J60" s="476"/>
      <c r="K60" s="488"/>
      <c r="L60" s="479">
        <f t="shared" si="19"/>
        <v>0</v>
      </c>
      <c r="M60" s="488"/>
      <c r="N60" s="479">
        <f t="shared" si="20"/>
        <v>0</v>
      </c>
      <c r="O60" s="479">
        <f t="shared" si="21"/>
        <v>0</v>
      </c>
      <c r="P60" s="243"/>
    </row>
    <row r="61" spans="2:16" ht="12.5">
      <c r="B61" s="160" t="str">
        <f t="shared" si="22"/>
        <v/>
      </c>
      <c r="C61" s="473">
        <f>IF(D11="","-",+C60+1)</f>
        <v>2056</v>
      </c>
      <c r="D61" s="486">
        <f>IF(F60+SUM(E$17:E60)=D$10,F60,D$10-SUM(E$17:E60))</f>
        <v>71522.108230394762</v>
      </c>
      <c r="E61" s="485">
        <f>IF(+I14&lt;F60,I14,D61)</f>
        <v>71522.108230394762</v>
      </c>
      <c r="F61" s="486">
        <f t="shared" si="17"/>
        <v>0</v>
      </c>
      <c r="G61" s="487">
        <f t="shared" si="15"/>
        <v>75636.644061810148</v>
      </c>
      <c r="H61" s="456">
        <f t="shared" si="16"/>
        <v>75636.644061810148</v>
      </c>
      <c r="I61" s="476">
        <f t="shared" si="18"/>
        <v>0</v>
      </c>
      <c r="J61" s="476"/>
      <c r="K61" s="488"/>
      <c r="L61" s="479">
        <f t="shared" si="19"/>
        <v>0</v>
      </c>
      <c r="M61" s="488"/>
      <c r="N61" s="479">
        <f t="shared" si="20"/>
        <v>0</v>
      </c>
      <c r="O61" s="479">
        <f t="shared" si="21"/>
        <v>0</v>
      </c>
      <c r="P61" s="243"/>
    </row>
    <row r="62" spans="2:16" ht="12.5">
      <c r="B62" s="160" t="str">
        <f t="shared" si="22"/>
        <v/>
      </c>
      <c r="C62" s="473">
        <f>IF(D11="","-",+C61+1)</f>
        <v>2057</v>
      </c>
      <c r="D62" s="486">
        <f>IF(F61+SUM(E$17:E61)=D$10,F61,D$10-SUM(E$17:E61))</f>
        <v>0</v>
      </c>
      <c r="E62" s="485">
        <f>IF(+I14&lt;F61,I14,D62)</f>
        <v>0</v>
      </c>
      <c r="F62" s="486">
        <f t="shared" si="17"/>
        <v>0</v>
      </c>
      <c r="G62" s="487">
        <f t="shared" si="15"/>
        <v>0</v>
      </c>
      <c r="H62" s="456">
        <f t="shared" si="16"/>
        <v>0</v>
      </c>
      <c r="I62" s="476">
        <f t="shared" si="18"/>
        <v>0</v>
      </c>
      <c r="J62" s="476"/>
      <c r="K62" s="488"/>
      <c r="L62" s="479">
        <f t="shared" si="19"/>
        <v>0</v>
      </c>
      <c r="M62" s="488"/>
      <c r="N62" s="479">
        <f t="shared" si="20"/>
        <v>0</v>
      </c>
      <c r="O62" s="479">
        <f t="shared" si="21"/>
        <v>0</v>
      </c>
      <c r="P62" s="243"/>
    </row>
    <row r="63" spans="2:16" ht="12.5">
      <c r="B63" s="160" t="str">
        <f t="shared" si="22"/>
        <v/>
      </c>
      <c r="C63" s="473">
        <f>IF(D11="","-",+C62+1)</f>
        <v>2058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7"/>
        <v>0</v>
      </c>
      <c r="G63" s="487">
        <f t="shared" si="15"/>
        <v>0</v>
      </c>
      <c r="H63" s="456">
        <f t="shared" si="16"/>
        <v>0</v>
      </c>
      <c r="I63" s="476">
        <f t="shared" si="18"/>
        <v>0</v>
      </c>
      <c r="J63" s="476"/>
      <c r="K63" s="488"/>
      <c r="L63" s="479">
        <f t="shared" si="19"/>
        <v>0</v>
      </c>
      <c r="M63" s="488"/>
      <c r="N63" s="479">
        <f t="shared" si="20"/>
        <v>0</v>
      </c>
      <c r="O63" s="479">
        <f t="shared" si="21"/>
        <v>0</v>
      </c>
      <c r="P63" s="243"/>
    </row>
    <row r="64" spans="2:16" ht="12.5">
      <c r="B64" s="160" t="str">
        <f t="shared" si="22"/>
        <v/>
      </c>
      <c r="C64" s="473">
        <f>IF(D11="","-",+C63+1)</f>
        <v>2059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7"/>
        <v>0</v>
      </c>
      <c r="G64" s="487">
        <f t="shared" si="15"/>
        <v>0</v>
      </c>
      <c r="H64" s="456">
        <f t="shared" si="16"/>
        <v>0</v>
      </c>
      <c r="I64" s="476">
        <f t="shared" si="18"/>
        <v>0</v>
      </c>
      <c r="J64" s="476"/>
      <c r="K64" s="488"/>
      <c r="L64" s="479">
        <f t="shared" si="19"/>
        <v>0</v>
      </c>
      <c r="M64" s="488"/>
      <c r="N64" s="479">
        <f t="shared" si="20"/>
        <v>0</v>
      </c>
      <c r="O64" s="479">
        <f t="shared" si="21"/>
        <v>0</v>
      </c>
      <c r="P64" s="243"/>
    </row>
    <row r="65" spans="2:16" ht="12.5">
      <c r="B65" s="160" t="str">
        <f t="shared" si="22"/>
        <v/>
      </c>
      <c r="C65" s="473">
        <f>IF(D11="","-",+C64+1)</f>
        <v>2060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7"/>
        <v>0</v>
      </c>
      <c r="G65" s="487">
        <f t="shared" si="15"/>
        <v>0</v>
      </c>
      <c r="H65" s="456">
        <f t="shared" si="16"/>
        <v>0</v>
      </c>
      <c r="I65" s="476">
        <f t="shared" si="18"/>
        <v>0</v>
      </c>
      <c r="J65" s="476"/>
      <c r="K65" s="488"/>
      <c r="L65" s="479">
        <f t="shared" si="19"/>
        <v>0</v>
      </c>
      <c r="M65" s="488"/>
      <c r="N65" s="479">
        <f t="shared" si="20"/>
        <v>0</v>
      </c>
      <c r="O65" s="479">
        <f t="shared" si="21"/>
        <v>0</v>
      </c>
      <c r="P65" s="243"/>
    </row>
    <row r="66" spans="2:16" ht="12.5">
      <c r="B66" s="160" t="str">
        <f t="shared" si="22"/>
        <v/>
      </c>
      <c r="C66" s="473">
        <f>IF(D11="","-",+C65+1)</f>
        <v>2061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7"/>
        <v>0</v>
      </c>
      <c r="G66" s="487">
        <f t="shared" si="15"/>
        <v>0</v>
      </c>
      <c r="H66" s="456">
        <f t="shared" si="16"/>
        <v>0</v>
      </c>
      <c r="I66" s="476">
        <f t="shared" si="18"/>
        <v>0</v>
      </c>
      <c r="J66" s="476"/>
      <c r="K66" s="488"/>
      <c r="L66" s="479">
        <f t="shared" si="19"/>
        <v>0</v>
      </c>
      <c r="M66" s="488"/>
      <c r="N66" s="479">
        <f t="shared" si="20"/>
        <v>0</v>
      </c>
      <c r="O66" s="479">
        <f t="shared" si="21"/>
        <v>0</v>
      </c>
      <c r="P66" s="243"/>
    </row>
    <row r="67" spans="2:16" ht="12.5">
      <c r="B67" s="160" t="str">
        <f t="shared" si="22"/>
        <v/>
      </c>
      <c r="C67" s="473">
        <f>IF(D11="","-",+C66+1)</f>
        <v>2062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7"/>
        <v>0</v>
      </c>
      <c r="G67" s="487">
        <f t="shared" si="15"/>
        <v>0</v>
      </c>
      <c r="H67" s="456">
        <f t="shared" si="16"/>
        <v>0</v>
      </c>
      <c r="I67" s="476">
        <f t="shared" si="18"/>
        <v>0</v>
      </c>
      <c r="J67" s="476"/>
      <c r="K67" s="488"/>
      <c r="L67" s="479">
        <f t="shared" si="19"/>
        <v>0</v>
      </c>
      <c r="M67" s="488"/>
      <c r="N67" s="479">
        <f t="shared" si="20"/>
        <v>0</v>
      </c>
      <c r="O67" s="479">
        <f t="shared" si="21"/>
        <v>0</v>
      </c>
      <c r="P67" s="243"/>
    </row>
    <row r="68" spans="2:16" ht="12.5">
      <c r="B68" s="160" t="str">
        <f t="shared" si="22"/>
        <v/>
      </c>
      <c r="C68" s="473">
        <f>IF(D11="","-",+C67+1)</f>
        <v>2063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7"/>
        <v>0</v>
      </c>
      <c r="G68" s="487">
        <f t="shared" si="15"/>
        <v>0</v>
      </c>
      <c r="H68" s="456">
        <f t="shared" si="16"/>
        <v>0</v>
      </c>
      <c r="I68" s="476">
        <f t="shared" si="18"/>
        <v>0</v>
      </c>
      <c r="J68" s="476"/>
      <c r="K68" s="488"/>
      <c r="L68" s="479">
        <f t="shared" si="19"/>
        <v>0</v>
      </c>
      <c r="M68" s="488"/>
      <c r="N68" s="479">
        <f t="shared" si="20"/>
        <v>0</v>
      </c>
      <c r="O68" s="479">
        <f t="shared" si="21"/>
        <v>0</v>
      </c>
      <c r="P68" s="243"/>
    </row>
    <row r="69" spans="2:16" ht="12.5">
      <c r="B69" s="160" t="str">
        <f t="shared" si="22"/>
        <v/>
      </c>
      <c r="C69" s="473">
        <f>IF(D11="","-",+C68+1)</f>
        <v>2064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7"/>
        <v>0</v>
      </c>
      <c r="G69" s="487">
        <f t="shared" si="15"/>
        <v>0</v>
      </c>
      <c r="H69" s="456">
        <f t="shared" si="16"/>
        <v>0</v>
      </c>
      <c r="I69" s="476">
        <f t="shared" si="18"/>
        <v>0</v>
      </c>
      <c r="J69" s="476"/>
      <c r="K69" s="488"/>
      <c r="L69" s="479">
        <f t="shared" si="19"/>
        <v>0</v>
      </c>
      <c r="M69" s="488"/>
      <c r="N69" s="479">
        <f t="shared" si="20"/>
        <v>0</v>
      </c>
      <c r="O69" s="479">
        <f t="shared" si="21"/>
        <v>0</v>
      </c>
      <c r="P69" s="243"/>
    </row>
    <row r="70" spans="2:16" ht="12.5">
      <c r="B70" s="160" t="str">
        <f t="shared" si="22"/>
        <v/>
      </c>
      <c r="C70" s="473">
        <f>IF(D11="","-",+C69+1)</f>
        <v>2065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7"/>
        <v>0</v>
      </c>
      <c r="G70" s="487">
        <f t="shared" si="15"/>
        <v>0</v>
      </c>
      <c r="H70" s="456">
        <f t="shared" si="16"/>
        <v>0</v>
      </c>
      <c r="I70" s="476">
        <f t="shared" si="18"/>
        <v>0</v>
      </c>
      <c r="J70" s="476"/>
      <c r="K70" s="488"/>
      <c r="L70" s="479">
        <f t="shared" si="19"/>
        <v>0</v>
      </c>
      <c r="M70" s="488"/>
      <c r="N70" s="479">
        <f t="shared" si="20"/>
        <v>0</v>
      </c>
      <c r="O70" s="479">
        <f t="shared" si="21"/>
        <v>0</v>
      </c>
      <c r="P70" s="243"/>
    </row>
    <row r="71" spans="2:16" ht="12.5">
      <c r="B71" s="160" t="str">
        <f t="shared" si="22"/>
        <v/>
      </c>
      <c r="C71" s="473">
        <f>IF(D11="","-",+C70+1)</f>
        <v>2066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7"/>
        <v>0</v>
      </c>
      <c r="G71" s="487">
        <f t="shared" si="15"/>
        <v>0</v>
      </c>
      <c r="H71" s="456">
        <f t="shared" si="16"/>
        <v>0</v>
      </c>
      <c r="I71" s="476">
        <f t="shared" si="18"/>
        <v>0</v>
      </c>
      <c r="J71" s="476"/>
      <c r="K71" s="488"/>
      <c r="L71" s="479">
        <f t="shared" si="19"/>
        <v>0</v>
      </c>
      <c r="M71" s="488"/>
      <c r="N71" s="479">
        <f t="shared" si="20"/>
        <v>0</v>
      </c>
      <c r="O71" s="479">
        <f t="shared" si="21"/>
        <v>0</v>
      </c>
      <c r="P71" s="243"/>
    </row>
    <row r="72" spans="2:16" ht="13" thickBot="1">
      <c r="B72" s="160" t="str">
        <f t="shared" si="22"/>
        <v/>
      </c>
      <c r="C72" s="490">
        <f>IF(D11="","-",+C71+1)</f>
        <v>2067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7"/>
        <v>0</v>
      </c>
      <c r="G72" s="491">
        <f t="shared" si="15"/>
        <v>0</v>
      </c>
      <c r="H72" s="491">
        <f t="shared" si="16"/>
        <v>0</v>
      </c>
      <c r="I72" s="494">
        <f t="shared" si="18"/>
        <v>0</v>
      </c>
      <c r="J72" s="476"/>
      <c r="K72" s="495"/>
      <c r="L72" s="496">
        <f t="shared" si="19"/>
        <v>0</v>
      </c>
      <c r="M72" s="495"/>
      <c r="N72" s="496">
        <f t="shared" si="20"/>
        <v>0</v>
      </c>
      <c r="O72" s="496">
        <f t="shared" si="21"/>
        <v>0</v>
      </c>
      <c r="P72" s="243"/>
    </row>
    <row r="73" spans="2:16" ht="12.5">
      <c r="C73" s="347" t="s">
        <v>77</v>
      </c>
      <c r="D73" s="348"/>
      <c r="E73" s="348">
        <f>SUM(E17:E72)</f>
        <v>3305767.1400000015</v>
      </c>
      <c r="F73" s="348"/>
      <c r="G73" s="348">
        <f>SUM(G17:G72)</f>
        <v>12281074.040186454</v>
      </c>
      <c r="H73" s="348">
        <f>SUM(H17:H72)</f>
        <v>12281074.040186454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12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381296.77932523622</v>
      </c>
      <c r="N87" s="509">
        <f>IF(J92&lt;D11,0,VLOOKUP(J92,C17:O72,11))</f>
        <v>381296.77932523622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396825.92685492127</v>
      </c>
      <c r="N88" s="513">
        <f>IF(J92&lt;D11,0,VLOOKUP(J92,C99:P154,7))</f>
        <v>396825.92685492127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Canadian River - McAlester City 138 kV Line Conversion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15529.147529685055</v>
      </c>
      <c r="N89" s="518">
        <f>+N88-N87</f>
        <v>15529.147529685055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TP2009095-PSO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+D10</f>
        <v>3305767.14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2012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8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76878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471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2012</v>
      </c>
      <c r="D99" s="579">
        <f>IF(D93=C99,0,D92)</f>
        <v>0</v>
      </c>
      <c r="E99" s="580">
        <v>1616</v>
      </c>
      <c r="F99" s="581">
        <v>502209</v>
      </c>
      <c r="G99" s="582">
        <v>251209</v>
      </c>
      <c r="H99" s="583">
        <v>37753</v>
      </c>
      <c r="I99" s="584">
        <v>37753</v>
      </c>
      <c r="J99" s="479">
        <f t="shared" ref="J99:J130" si="23">+I99-H99</f>
        <v>0</v>
      </c>
      <c r="K99" s="575"/>
      <c r="L99" s="568">
        <f t="shared" ref="L99:L104" si="24">H99</f>
        <v>37753</v>
      </c>
      <c r="M99" s="576">
        <f t="shared" ref="M99:M104" si="25">IF(L99&lt;&gt;0,+H99-L99,0)</f>
        <v>0</v>
      </c>
      <c r="N99" s="568">
        <f t="shared" ref="N99:N104" si="26">I99</f>
        <v>37753</v>
      </c>
      <c r="O99" s="349">
        <f t="shared" ref="O99:O104" si="27">IF(N99&lt;&gt;0,+I99-N99,0)</f>
        <v>0</v>
      </c>
      <c r="P99" s="478">
        <f t="shared" ref="P99:P104" si="28">+O99-M99</f>
        <v>0</v>
      </c>
    </row>
    <row r="100" spans="1:16" ht="12.5">
      <c r="B100" s="160" t="str">
        <f t="shared" ref="B100:B131" si="29">IF(D100=F99,"","IU")</f>
        <v>IU</v>
      </c>
      <c r="C100" s="473">
        <f>IF(D93="","-",+C99+1)</f>
        <v>2013</v>
      </c>
      <c r="D100" s="585">
        <v>3240518</v>
      </c>
      <c r="E100" s="586">
        <v>62349</v>
      </c>
      <c r="F100" s="587">
        <v>3178169</v>
      </c>
      <c r="G100" s="587">
        <v>3209343.5</v>
      </c>
      <c r="H100" s="586">
        <v>524300.60020262119</v>
      </c>
      <c r="I100" s="588">
        <v>524300.60020262119</v>
      </c>
      <c r="J100" s="479">
        <v>0</v>
      </c>
      <c r="K100" s="575"/>
      <c r="L100" s="541">
        <f t="shared" si="24"/>
        <v>524300.60020262119</v>
      </c>
      <c r="M100" s="576">
        <f t="shared" si="25"/>
        <v>0</v>
      </c>
      <c r="N100" s="541">
        <f t="shared" si="26"/>
        <v>524300.60020262119</v>
      </c>
      <c r="O100" s="349">
        <f t="shared" si="27"/>
        <v>0</v>
      </c>
      <c r="P100" s="479">
        <f t="shared" si="28"/>
        <v>0</v>
      </c>
    </row>
    <row r="101" spans="1:16" ht="12.5">
      <c r="B101" s="160" t="str">
        <f t="shared" si="29"/>
        <v>IU</v>
      </c>
      <c r="C101" s="473">
        <f>IF(D93="","-",+C100+1)</f>
        <v>2014</v>
      </c>
      <c r="D101" s="585">
        <v>3241802.14</v>
      </c>
      <c r="E101" s="586">
        <v>63572</v>
      </c>
      <c r="F101" s="587">
        <v>3178230.14</v>
      </c>
      <c r="G101" s="587">
        <v>3210016.14</v>
      </c>
      <c r="H101" s="586">
        <v>514887.14751698606</v>
      </c>
      <c r="I101" s="588">
        <v>514887.14751698606</v>
      </c>
      <c r="J101" s="479">
        <v>0</v>
      </c>
      <c r="K101" s="575"/>
      <c r="L101" s="541">
        <f t="shared" si="24"/>
        <v>514887.14751698606</v>
      </c>
      <c r="M101" s="576">
        <f t="shared" si="25"/>
        <v>0</v>
      </c>
      <c r="N101" s="541">
        <f t="shared" si="26"/>
        <v>514887.14751698606</v>
      </c>
      <c r="O101" s="349">
        <f t="shared" si="27"/>
        <v>0</v>
      </c>
      <c r="P101" s="479">
        <f t="shared" si="28"/>
        <v>0</v>
      </c>
    </row>
    <row r="102" spans="1:16" ht="12.5">
      <c r="B102" s="160" t="str">
        <f t="shared" si="29"/>
        <v/>
      </c>
      <c r="C102" s="473">
        <f>IF(D93="","-",+C101+1)</f>
        <v>2015</v>
      </c>
      <c r="D102" s="585">
        <v>3178230.14</v>
      </c>
      <c r="E102" s="586">
        <v>63572</v>
      </c>
      <c r="F102" s="587">
        <v>3114658.14</v>
      </c>
      <c r="G102" s="587">
        <v>3146444.14</v>
      </c>
      <c r="H102" s="586">
        <v>492879.0042454137</v>
      </c>
      <c r="I102" s="588">
        <v>492879.0042454137</v>
      </c>
      <c r="J102" s="479">
        <f t="shared" si="23"/>
        <v>0</v>
      </c>
      <c r="K102" s="479"/>
      <c r="L102" s="541">
        <f t="shared" si="24"/>
        <v>492879.0042454137</v>
      </c>
      <c r="M102" s="576">
        <f t="shared" si="25"/>
        <v>0</v>
      </c>
      <c r="N102" s="541">
        <f t="shared" si="26"/>
        <v>492879.0042454137</v>
      </c>
      <c r="O102" s="349">
        <f t="shared" si="27"/>
        <v>0</v>
      </c>
      <c r="P102" s="479">
        <f t="shared" si="28"/>
        <v>0</v>
      </c>
    </row>
    <row r="103" spans="1:16" ht="12.5">
      <c r="B103" s="160" t="str">
        <f t="shared" si="29"/>
        <v/>
      </c>
      <c r="C103" s="473">
        <f>IF(D93="","-",+C102+1)</f>
        <v>2016</v>
      </c>
      <c r="D103" s="585">
        <v>3114658.14</v>
      </c>
      <c r="E103" s="586">
        <v>71865</v>
      </c>
      <c r="F103" s="587">
        <v>3042793.14</v>
      </c>
      <c r="G103" s="587">
        <v>3078725.64</v>
      </c>
      <c r="H103" s="586">
        <v>468761.221459263</v>
      </c>
      <c r="I103" s="588">
        <v>468761.221459263</v>
      </c>
      <c r="J103" s="479">
        <f t="shared" si="23"/>
        <v>0</v>
      </c>
      <c r="K103" s="479"/>
      <c r="L103" s="541">
        <f t="shared" si="24"/>
        <v>468761.221459263</v>
      </c>
      <c r="M103" s="576">
        <f t="shared" si="25"/>
        <v>0</v>
      </c>
      <c r="N103" s="541">
        <f t="shared" si="26"/>
        <v>468761.221459263</v>
      </c>
      <c r="O103" s="349">
        <f t="shared" si="27"/>
        <v>0</v>
      </c>
      <c r="P103" s="479">
        <f t="shared" si="28"/>
        <v>0</v>
      </c>
    </row>
    <row r="104" spans="1:16" ht="12.5">
      <c r="B104" s="160" t="str">
        <f t="shared" si="29"/>
        <v/>
      </c>
      <c r="C104" s="473">
        <f>IF(D93="","-",+C103+1)</f>
        <v>2017</v>
      </c>
      <c r="D104" s="585">
        <v>3042793.14</v>
      </c>
      <c r="E104" s="586">
        <v>71865</v>
      </c>
      <c r="F104" s="587">
        <v>2970928.14</v>
      </c>
      <c r="G104" s="587">
        <v>3006860.64</v>
      </c>
      <c r="H104" s="586">
        <v>453292.85398579738</v>
      </c>
      <c r="I104" s="588">
        <v>453292.85398579738</v>
      </c>
      <c r="J104" s="479">
        <f t="shared" si="23"/>
        <v>0</v>
      </c>
      <c r="K104" s="479"/>
      <c r="L104" s="541">
        <f t="shared" si="24"/>
        <v>453292.85398579738</v>
      </c>
      <c r="M104" s="576">
        <f t="shared" si="25"/>
        <v>0</v>
      </c>
      <c r="N104" s="541">
        <f t="shared" si="26"/>
        <v>453292.85398579738</v>
      </c>
      <c r="O104" s="349">
        <f t="shared" si="27"/>
        <v>0</v>
      </c>
      <c r="P104" s="479">
        <f t="shared" si="28"/>
        <v>0</v>
      </c>
    </row>
    <row r="105" spans="1:16" ht="12.5">
      <c r="B105" s="160" t="str">
        <f t="shared" si="29"/>
        <v/>
      </c>
      <c r="C105" s="473">
        <f>IF(D93="","-",+C104+1)</f>
        <v>2018</v>
      </c>
      <c r="D105" s="585">
        <v>2970928.14</v>
      </c>
      <c r="E105" s="586">
        <v>76878</v>
      </c>
      <c r="F105" s="587">
        <v>2894050.14</v>
      </c>
      <c r="G105" s="587">
        <v>2932489.14</v>
      </c>
      <c r="H105" s="586">
        <v>378148.93401168124</v>
      </c>
      <c r="I105" s="588">
        <v>378148.93401168124</v>
      </c>
      <c r="J105" s="479">
        <f t="shared" si="23"/>
        <v>0</v>
      </c>
      <c r="K105" s="479"/>
      <c r="L105" s="541">
        <f t="shared" ref="L105" si="30">H105</f>
        <v>378148.93401168124</v>
      </c>
      <c r="M105" s="576">
        <f t="shared" ref="M105" si="31">IF(L105&lt;&gt;0,+H105-L105,0)</f>
        <v>0</v>
      </c>
      <c r="N105" s="541">
        <f t="shared" ref="N105" si="32">I105</f>
        <v>378148.93401168124</v>
      </c>
      <c r="O105" s="349">
        <f t="shared" ref="O105" si="33">IF(N105&lt;&gt;0,+I105-N105,0)</f>
        <v>0</v>
      </c>
      <c r="P105" s="479">
        <f t="shared" ref="P105" si="34">+O105-M105</f>
        <v>0</v>
      </c>
    </row>
    <row r="106" spans="1:16" ht="12.5">
      <c r="B106" s="160" t="str">
        <f t="shared" si="29"/>
        <v/>
      </c>
      <c r="C106" s="473">
        <f>IF(D93="","-",+C105+1)</f>
        <v>2019</v>
      </c>
      <c r="D106" s="585">
        <v>2894050.14</v>
      </c>
      <c r="E106" s="586">
        <v>80628</v>
      </c>
      <c r="F106" s="587">
        <v>2813422.14</v>
      </c>
      <c r="G106" s="587">
        <v>2853736.14</v>
      </c>
      <c r="H106" s="586">
        <v>374888.22276719729</v>
      </c>
      <c r="I106" s="588">
        <v>374888.22276719729</v>
      </c>
      <c r="J106" s="479">
        <f t="shared" si="23"/>
        <v>0</v>
      </c>
      <c r="K106" s="479"/>
      <c r="L106" s="541">
        <f t="shared" ref="L106" si="35">H106</f>
        <v>374888.22276719729</v>
      </c>
      <c r="M106" s="576">
        <f t="shared" ref="M106" si="36">IF(L106&lt;&gt;0,+H106-L106,0)</f>
        <v>0</v>
      </c>
      <c r="N106" s="541">
        <f t="shared" ref="N106" si="37">I106</f>
        <v>374888.22276719729</v>
      </c>
      <c r="O106" s="479">
        <f t="shared" ref="O106:O130" si="38">IF(N106&lt;&gt;0,+I106-N106,0)</f>
        <v>0</v>
      </c>
      <c r="P106" s="479">
        <f t="shared" ref="P106:P130" si="39">+O106-M106</f>
        <v>0</v>
      </c>
    </row>
    <row r="107" spans="1:16" ht="12.5">
      <c r="B107" s="160" t="str">
        <f t="shared" si="29"/>
        <v/>
      </c>
      <c r="C107" s="473">
        <f>IF(D93="","-",+C106+1)</f>
        <v>2020</v>
      </c>
      <c r="D107" s="347">
        <f>IF(F106+SUM(E$99:E106)=D$92,F106,D$92-SUM(E$99:E106))</f>
        <v>2813422.14</v>
      </c>
      <c r="E107" s="487">
        <f t="shared" ref="E107:E154" si="40">IF(+J$96&lt;F106,J$96,D107)</f>
        <v>76878</v>
      </c>
      <c r="F107" s="486">
        <f t="shared" ref="F107:F154" si="41">+D107-E107</f>
        <v>2736544.14</v>
      </c>
      <c r="G107" s="486">
        <f t="shared" ref="G107:G154" si="42">+(F107+D107)/2</f>
        <v>2774983.14</v>
      </c>
      <c r="H107" s="487">
        <f>(D107+F107)/2*J$94+E107</f>
        <v>396825.92685492127</v>
      </c>
      <c r="I107" s="543">
        <f t="shared" ref="I107" si="43">+J$95*G107+E107</f>
        <v>396825.92685492127</v>
      </c>
      <c r="J107" s="479">
        <f t="shared" si="23"/>
        <v>0</v>
      </c>
      <c r="K107" s="479"/>
      <c r="L107" s="488"/>
      <c r="M107" s="479">
        <f t="shared" ref="M107:M130" si="44">IF(L107&lt;&gt;0,+H107-L107,0)</f>
        <v>0</v>
      </c>
      <c r="N107" s="488"/>
      <c r="O107" s="479">
        <f t="shared" si="38"/>
        <v>0</v>
      </c>
      <c r="P107" s="479">
        <f t="shared" si="39"/>
        <v>0</v>
      </c>
    </row>
    <row r="108" spans="1:16" ht="12.5">
      <c r="B108" s="160" t="str">
        <f t="shared" si="29"/>
        <v/>
      </c>
      <c r="C108" s="473">
        <f>IF(D93="","-",+C107+1)</f>
        <v>2021</v>
      </c>
      <c r="D108" s="347">
        <f>IF(F107+SUM(E$99:E107)=D$92,F107,D$92-SUM(E$99:E107))</f>
        <v>2736544.14</v>
      </c>
      <c r="E108" s="487">
        <f t="shared" si="40"/>
        <v>76878</v>
      </c>
      <c r="F108" s="486">
        <f t="shared" si="41"/>
        <v>2659666.14</v>
      </c>
      <c r="G108" s="486">
        <f t="shared" si="42"/>
        <v>2698105.14</v>
      </c>
      <c r="H108" s="487">
        <f t="shared" ref="H108:H153" si="45">(D108+F108)/2*J$94+E108</f>
        <v>387962.10481355473</v>
      </c>
      <c r="I108" s="543">
        <f t="shared" ref="I108:I153" si="46">+J$95*G108+E108</f>
        <v>387962.10481355473</v>
      </c>
      <c r="J108" s="479">
        <f t="shared" si="23"/>
        <v>0</v>
      </c>
      <c r="K108" s="479"/>
      <c r="L108" s="488"/>
      <c r="M108" s="479">
        <f t="shared" si="44"/>
        <v>0</v>
      </c>
      <c r="N108" s="488"/>
      <c r="O108" s="479">
        <f t="shared" si="38"/>
        <v>0</v>
      </c>
      <c r="P108" s="479">
        <f t="shared" si="39"/>
        <v>0</v>
      </c>
    </row>
    <row r="109" spans="1:16" ht="12.5">
      <c r="B109" s="160" t="str">
        <f t="shared" si="29"/>
        <v/>
      </c>
      <c r="C109" s="473">
        <f>IF(D93="","-",+C108+1)</f>
        <v>2022</v>
      </c>
      <c r="D109" s="347">
        <f>IF(F108+SUM(E$99:E108)=D$92,F108,D$92-SUM(E$99:E108))</f>
        <v>2659666.14</v>
      </c>
      <c r="E109" s="487">
        <f t="shared" si="40"/>
        <v>76878</v>
      </c>
      <c r="F109" s="486">
        <f t="shared" si="41"/>
        <v>2582788.14</v>
      </c>
      <c r="G109" s="486">
        <f t="shared" si="42"/>
        <v>2621227.14</v>
      </c>
      <c r="H109" s="487">
        <f t="shared" si="45"/>
        <v>379098.28277218813</v>
      </c>
      <c r="I109" s="543">
        <f t="shared" si="46"/>
        <v>379098.28277218813</v>
      </c>
      <c r="J109" s="479">
        <f t="shared" si="23"/>
        <v>0</v>
      </c>
      <c r="K109" s="479"/>
      <c r="L109" s="488"/>
      <c r="M109" s="479">
        <f t="shared" si="44"/>
        <v>0</v>
      </c>
      <c r="N109" s="488"/>
      <c r="O109" s="479">
        <f t="shared" si="38"/>
        <v>0</v>
      </c>
      <c r="P109" s="479">
        <f t="shared" si="39"/>
        <v>0</v>
      </c>
    </row>
    <row r="110" spans="1:16" ht="12.5">
      <c r="B110" s="160" t="str">
        <f t="shared" si="29"/>
        <v/>
      </c>
      <c r="C110" s="473">
        <f>IF(D93="","-",+C109+1)</f>
        <v>2023</v>
      </c>
      <c r="D110" s="347">
        <f>IF(F109+SUM(E$99:E109)=D$92,F109,D$92-SUM(E$99:E109))</f>
        <v>2582788.14</v>
      </c>
      <c r="E110" s="487">
        <f t="shared" si="40"/>
        <v>76878</v>
      </c>
      <c r="F110" s="486">
        <f t="shared" si="41"/>
        <v>2505910.14</v>
      </c>
      <c r="G110" s="486">
        <f t="shared" si="42"/>
        <v>2544349.14</v>
      </c>
      <c r="H110" s="487">
        <f t="shared" si="45"/>
        <v>370234.46073082153</v>
      </c>
      <c r="I110" s="543">
        <f t="shared" si="46"/>
        <v>370234.46073082153</v>
      </c>
      <c r="J110" s="479">
        <f t="shared" si="23"/>
        <v>0</v>
      </c>
      <c r="K110" s="479"/>
      <c r="L110" s="488"/>
      <c r="M110" s="479">
        <f t="shared" si="44"/>
        <v>0</v>
      </c>
      <c r="N110" s="488"/>
      <c r="O110" s="479">
        <f t="shared" si="38"/>
        <v>0</v>
      </c>
      <c r="P110" s="479">
        <f t="shared" si="39"/>
        <v>0</v>
      </c>
    </row>
    <row r="111" spans="1:16" ht="12.5">
      <c r="B111" s="160" t="str">
        <f t="shared" si="29"/>
        <v/>
      </c>
      <c r="C111" s="473">
        <f>IF(D93="","-",+C110+1)</f>
        <v>2024</v>
      </c>
      <c r="D111" s="347">
        <f>IF(F110+SUM(E$99:E110)=D$92,F110,D$92-SUM(E$99:E110))</f>
        <v>2505910.14</v>
      </c>
      <c r="E111" s="487">
        <f t="shared" si="40"/>
        <v>76878</v>
      </c>
      <c r="F111" s="486">
        <f t="shared" si="41"/>
        <v>2429032.14</v>
      </c>
      <c r="G111" s="486">
        <f t="shared" si="42"/>
        <v>2467471.14</v>
      </c>
      <c r="H111" s="487">
        <f t="shared" si="45"/>
        <v>361370.63868945499</v>
      </c>
      <c r="I111" s="543">
        <f t="shared" si="46"/>
        <v>361370.63868945499</v>
      </c>
      <c r="J111" s="479">
        <f t="shared" si="23"/>
        <v>0</v>
      </c>
      <c r="K111" s="479"/>
      <c r="L111" s="488"/>
      <c r="M111" s="479">
        <f t="shared" si="44"/>
        <v>0</v>
      </c>
      <c r="N111" s="488"/>
      <c r="O111" s="479">
        <f t="shared" si="38"/>
        <v>0</v>
      </c>
      <c r="P111" s="479">
        <f t="shared" si="39"/>
        <v>0</v>
      </c>
    </row>
    <row r="112" spans="1:16" ht="12.5">
      <c r="B112" s="160" t="str">
        <f t="shared" si="29"/>
        <v/>
      </c>
      <c r="C112" s="473">
        <f>IF(D93="","-",+C111+1)</f>
        <v>2025</v>
      </c>
      <c r="D112" s="347">
        <f>IF(F111+SUM(E$99:E111)=D$92,F111,D$92-SUM(E$99:E111))</f>
        <v>2429032.14</v>
      </c>
      <c r="E112" s="487">
        <f t="shared" si="40"/>
        <v>76878</v>
      </c>
      <c r="F112" s="486">
        <f t="shared" si="41"/>
        <v>2352154.14</v>
      </c>
      <c r="G112" s="486">
        <f t="shared" si="42"/>
        <v>2390593.14</v>
      </c>
      <c r="H112" s="487">
        <f t="shared" si="45"/>
        <v>352506.8166480884</v>
      </c>
      <c r="I112" s="543">
        <f t="shared" si="46"/>
        <v>352506.8166480884</v>
      </c>
      <c r="J112" s="479">
        <f t="shared" si="23"/>
        <v>0</v>
      </c>
      <c r="K112" s="479"/>
      <c r="L112" s="488"/>
      <c r="M112" s="479">
        <f t="shared" si="44"/>
        <v>0</v>
      </c>
      <c r="N112" s="488"/>
      <c r="O112" s="479">
        <f t="shared" si="38"/>
        <v>0</v>
      </c>
      <c r="P112" s="479">
        <f t="shared" si="39"/>
        <v>0</v>
      </c>
    </row>
    <row r="113" spans="2:16" ht="12.5">
      <c r="B113" s="160" t="str">
        <f t="shared" si="29"/>
        <v/>
      </c>
      <c r="C113" s="473">
        <f>IF(D93="","-",+C112+1)</f>
        <v>2026</v>
      </c>
      <c r="D113" s="347">
        <f>IF(F112+SUM(E$99:E112)=D$92,F112,D$92-SUM(E$99:E112))</f>
        <v>2352154.14</v>
      </c>
      <c r="E113" s="487">
        <f t="shared" si="40"/>
        <v>76878</v>
      </c>
      <c r="F113" s="486">
        <f t="shared" si="41"/>
        <v>2275276.14</v>
      </c>
      <c r="G113" s="486">
        <f t="shared" si="42"/>
        <v>2313715.14</v>
      </c>
      <c r="H113" s="487">
        <f t="shared" si="45"/>
        <v>343642.9946067218</v>
      </c>
      <c r="I113" s="543">
        <f t="shared" si="46"/>
        <v>343642.9946067218</v>
      </c>
      <c r="J113" s="479">
        <f t="shared" si="23"/>
        <v>0</v>
      </c>
      <c r="K113" s="479"/>
      <c r="L113" s="488"/>
      <c r="M113" s="479">
        <f t="shared" si="44"/>
        <v>0</v>
      </c>
      <c r="N113" s="488"/>
      <c r="O113" s="479">
        <f t="shared" si="38"/>
        <v>0</v>
      </c>
      <c r="P113" s="479">
        <f t="shared" si="39"/>
        <v>0</v>
      </c>
    </row>
    <row r="114" spans="2:16" ht="12.5">
      <c r="B114" s="160" t="str">
        <f t="shared" si="29"/>
        <v/>
      </c>
      <c r="C114" s="473">
        <f>IF(D93="","-",+C113+1)</f>
        <v>2027</v>
      </c>
      <c r="D114" s="347">
        <f>IF(F113+SUM(E$99:E113)=D$92,F113,D$92-SUM(E$99:E113))</f>
        <v>2275276.14</v>
      </c>
      <c r="E114" s="487">
        <f t="shared" si="40"/>
        <v>76878</v>
      </c>
      <c r="F114" s="486">
        <f t="shared" si="41"/>
        <v>2198398.14</v>
      </c>
      <c r="G114" s="486">
        <f t="shared" si="42"/>
        <v>2236837.14</v>
      </c>
      <c r="H114" s="487">
        <f t="shared" si="45"/>
        <v>334779.17256535526</v>
      </c>
      <c r="I114" s="543">
        <f t="shared" si="46"/>
        <v>334779.17256535526</v>
      </c>
      <c r="J114" s="479">
        <f t="shared" si="23"/>
        <v>0</v>
      </c>
      <c r="K114" s="479"/>
      <c r="L114" s="488"/>
      <c r="M114" s="479">
        <f t="shared" si="44"/>
        <v>0</v>
      </c>
      <c r="N114" s="488"/>
      <c r="O114" s="479">
        <f t="shared" si="38"/>
        <v>0</v>
      </c>
      <c r="P114" s="479">
        <f t="shared" si="39"/>
        <v>0</v>
      </c>
    </row>
    <row r="115" spans="2:16" ht="12.5">
      <c r="B115" s="160" t="str">
        <f t="shared" si="29"/>
        <v/>
      </c>
      <c r="C115" s="473">
        <f>IF(D93="","-",+C114+1)</f>
        <v>2028</v>
      </c>
      <c r="D115" s="347">
        <f>IF(F114+SUM(E$99:E114)=D$92,F114,D$92-SUM(E$99:E114))</f>
        <v>2198398.14</v>
      </c>
      <c r="E115" s="487">
        <f t="shared" si="40"/>
        <v>76878</v>
      </c>
      <c r="F115" s="486">
        <f t="shared" si="41"/>
        <v>2121520.14</v>
      </c>
      <c r="G115" s="486">
        <f t="shared" si="42"/>
        <v>2159959.14</v>
      </c>
      <c r="H115" s="487">
        <f t="shared" si="45"/>
        <v>325915.35052398866</v>
      </c>
      <c r="I115" s="543">
        <f t="shared" si="46"/>
        <v>325915.35052398866</v>
      </c>
      <c r="J115" s="479">
        <f t="shared" si="23"/>
        <v>0</v>
      </c>
      <c r="K115" s="479"/>
      <c r="L115" s="488"/>
      <c r="M115" s="479">
        <f t="shared" si="44"/>
        <v>0</v>
      </c>
      <c r="N115" s="488"/>
      <c r="O115" s="479">
        <f t="shared" si="38"/>
        <v>0</v>
      </c>
      <c r="P115" s="479">
        <f t="shared" si="39"/>
        <v>0</v>
      </c>
    </row>
    <row r="116" spans="2:16" ht="12.5">
      <c r="B116" s="160" t="str">
        <f t="shared" si="29"/>
        <v/>
      </c>
      <c r="C116" s="473">
        <f>IF(D93="","-",+C115+1)</f>
        <v>2029</v>
      </c>
      <c r="D116" s="347">
        <f>IF(F115+SUM(E$99:E115)=D$92,F115,D$92-SUM(E$99:E115))</f>
        <v>2121520.14</v>
      </c>
      <c r="E116" s="487">
        <f t="shared" si="40"/>
        <v>76878</v>
      </c>
      <c r="F116" s="486">
        <f t="shared" si="41"/>
        <v>2044642.1400000001</v>
      </c>
      <c r="G116" s="486">
        <f t="shared" si="42"/>
        <v>2083081.1400000001</v>
      </c>
      <c r="H116" s="487">
        <f t="shared" si="45"/>
        <v>317051.52848262212</v>
      </c>
      <c r="I116" s="543">
        <f t="shared" si="46"/>
        <v>317051.52848262212</v>
      </c>
      <c r="J116" s="479">
        <f t="shared" si="23"/>
        <v>0</v>
      </c>
      <c r="K116" s="479"/>
      <c r="L116" s="488"/>
      <c r="M116" s="479">
        <f t="shared" si="44"/>
        <v>0</v>
      </c>
      <c r="N116" s="488"/>
      <c r="O116" s="479">
        <f t="shared" si="38"/>
        <v>0</v>
      </c>
      <c r="P116" s="479">
        <f t="shared" si="39"/>
        <v>0</v>
      </c>
    </row>
    <row r="117" spans="2:16" ht="12.5">
      <c r="B117" s="160" t="str">
        <f t="shared" si="29"/>
        <v/>
      </c>
      <c r="C117" s="473">
        <f>IF(D93="","-",+C116+1)</f>
        <v>2030</v>
      </c>
      <c r="D117" s="347">
        <f>IF(F116+SUM(E$99:E116)=D$92,F116,D$92-SUM(E$99:E116))</f>
        <v>2044642.1400000001</v>
      </c>
      <c r="E117" s="487">
        <f t="shared" si="40"/>
        <v>76878</v>
      </c>
      <c r="F117" s="486">
        <f t="shared" si="41"/>
        <v>1967764.1400000001</v>
      </c>
      <c r="G117" s="486">
        <f t="shared" si="42"/>
        <v>2006203.1400000001</v>
      </c>
      <c r="H117" s="487">
        <f t="shared" si="45"/>
        <v>308187.70644125552</v>
      </c>
      <c r="I117" s="543">
        <f t="shared" si="46"/>
        <v>308187.70644125552</v>
      </c>
      <c r="J117" s="479">
        <f t="shared" si="23"/>
        <v>0</v>
      </c>
      <c r="K117" s="479"/>
      <c r="L117" s="488"/>
      <c r="M117" s="479">
        <f t="shared" si="44"/>
        <v>0</v>
      </c>
      <c r="N117" s="488"/>
      <c r="O117" s="479">
        <f t="shared" si="38"/>
        <v>0</v>
      </c>
      <c r="P117" s="479">
        <f t="shared" si="39"/>
        <v>0</v>
      </c>
    </row>
    <row r="118" spans="2:16" ht="12.5">
      <c r="B118" s="160" t="str">
        <f t="shared" si="29"/>
        <v/>
      </c>
      <c r="C118" s="473">
        <f>IF(D93="","-",+C117+1)</f>
        <v>2031</v>
      </c>
      <c r="D118" s="347">
        <f>IF(F117+SUM(E$99:E117)=D$92,F117,D$92-SUM(E$99:E117))</f>
        <v>1967764.1400000001</v>
      </c>
      <c r="E118" s="487">
        <f t="shared" si="40"/>
        <v>76878</v>
      </c>
      <c r="F118" s="486">
        <f t="shared" si="41"/>
        <v>1890886.1400000001</v>
      </c>
      <c r="G118" s="486">
        <f t="shared" si="42"/>
        <v>1929325.1400000001</v>
      </c>
      <c r="H118" s="487">
        <f t="shared" si="45"/>
        <v>299323.88439988892</v>
      </c>
      <c r="I118" s="543">
        <f t="shared" si="46"/>
        <v>299323.88439988892</v>
      </c>
      <c r="J118" s="479">
        <f t="shared" si="23"/>
        <v>0</v>
      </c>
      <c r="K118" s="479"/>
      <c r="L118" s="488"/>
      <c r="M118" s="479">
        <f t="shared" si="44"/>
        <v>0</v>
      </c>
      <c r="N118" s="488"/>
      <c r="O118" s="479">
        <f t="shared" si="38"/>
        <v>0</v>
      </c>
      <c r="P118" s="479">
        <f t="shared" si="39"/>
        <v>0</v>
      </c>
    </row>
    <row r="119" spans="2:16" ht="12.5">
      <c r="B119" s="160" t="str">
        <f t="shared" si="29"/>
        <v/>
      </c>
      <c r="C119" s="473">
        <f>IF(D93="","-",+C118+1)</f>
        <v>2032</v>
      </c>
      <c r="D119" s="347">
        <f>IF(F118+SUM(E$99:E118)=D$92,F118,D$92-SUM(E$99:E118))</f>
        <v>1890886.1400000001</v>
      </c>
      <c r="E119" s="487">
        <f t="shared" si="40"/>
        <v>76878</v>
      </c>
      <c r="F119" s="486">
        <f t="shared" si="41"/>
        <v>1814008.1400000001</v>
      </c>
      <c r="G119" s="486">
        <f t="shared" si="42"/>
        <v>1852447.1400000001</v>
      </c>
      <c r="H119" s="487">
        <f t="shared" si="45"/>
        <v>290460.06235852232</v>
      </c>
      <c r="I119" s="543">
        <f t="shared" si="46"/>
        <v>290460.06235852232</v>
      </c>
      <c r="J119" s="479">
        <f t="shared" si="23"/>
        <v>0</v>
      </c>
      <c r="K119" s="479"/>
      <c r="L119" s="488"/>
      <c r="M119" s="479">
        <f t="shared" si="44"/>
        <v>0</v>
      </c>
      <c r="N119" s="488"/>
      <c r="O119" s="479">
        <f t="shared" si="38"/>
        <v>0</v>
      </c>
      <c r="P119" s="479">
        <f t="shared" si="39"/>
        <v>0</v>
      </c>
    </row>
    <row r="120" spans="2:16" ht="12.5">
      <c r="B120" s="160" t="str">
        <f t="shared" si="29"/>
        <v/>
      </c>
      <c r="C120" s="473">
        <f>IF(D93="","-",+C119+1)</f>
        <v>2033</v>
      </c>
      <c r="D120" s="347">
        <f>IF(F119+SUM(E$99:E119)=D$92,F119,D$92-SUM(E$99:E119))</f>
        <v>1814008.1400000001</v>
      </c>
      <c r="E120" s="487">
        <f t="shared" si="40"/>
        <v>76878</v>
      </c>
      <c r="F120" s="486">
        <f t="shared" si="41"/>
        <v>1737130.1400000001</v>
      </c>
      <c r="G120" s="486">
        <f t="shared" si="42"/>
        <v>1775569.1400000001</v>
      </c>
      <c r="H120" s="487">
        <f t="shared" si="45"/>
        <v>281596.24031715578</v>
      </c>
      <c r="I120" s="543">
        <f t="shared" si="46"/>
        <v>281596.24031715578</v>
      </c>
      <c r="J120" s="479">
        <f t="shared" si="23"/>
        <v>0</v>
      </c>
      <c r="K120" s="479"/>
      <c r="L120" s="488"/>
      <c r="M120" s="479">
        <f t="shared" si="44"/>
        <v>0</v>
      </c>
      <c r="N120" s="488"/>
      <c r="O120" s="479">
        <f t="shared" si="38"/>
        <v>0</v>
      </c>
      <c r="P120" s="479">
        <f t="shared" si="39"/>
        <v>0</v>
      </c>
    </row>
    <row r="121" spans="2:16" ht="12.5">
      <c r="B121" s="160" t="str">
        <f t="shared" si="29"/>
        <v/>
      </c>
      <c r="C121" s="473">
        <f>IF(D93="","-",+C120+1)</f>
        <v>2034</v>
      </c>
      <c r="D121" s="347">
        <f>IF(F120+SUM(E$99:E120)=D$92,F120,D$92-SUM(E$99:E120))</f>
        <v>1737130.1400000001</v>
      </c>
      <c r="E121" s="487">
        <f t="shared" si="40"/>
        <v>76878</v>
      </c>
      <c r="F121" s="486">
        <f t="shared" si="41"/>
        <v>1660252.1400000001</v>
      </c>
      <c r="G121" s="486">
        <f t="shared" si="42"/>
        <v>1698691.1400000001</v>
      </c>
      <c r="H121" s="487">
        <f t="shared" si="45"/>
        <v>272732.41827578918</v>
      </c>
      <c r="I121" s="543">
        <f t="shared" si="46"/>
        <v>272732.41827578918</v>
      </c>
      <c r="J121" s="479">
        <f t="shared" si="23"/>
        <v>0</v>
      </c>
      <c r="K121" s="479"/>
      <c r="L121" s="488"/>
      <c r="M121" s="479">
        <f t="shared" si="44"/>
        <v>0</v>
      </c>
      <c r="N121" s="488"/>
      <c r="O121" s="479">
        <f t="shared" si="38"/>
        <v>0</v>
      </c>
      <c r="P121" s="479">
        <f t="shared" si="39"/>
        <v>0</v>
      </c>
    </row>
    <row r="122" spans="2:16" ht="12.5">
      <c r="B122" s="160" t="str">
        <f t="shared" si="29"/>
        <v/>
      </c>
      <c r="C122" s="473">
        <f>IF(D93="","-",+C121+1)</f>
        <v>2035</v>
      </c>
      <c r="D122" s="347">
        <f>IF(F121+SUM(E$99:E121)=D$92,F121,D$92-SUM(E$99:E121))</f>
        <v>1660252.1400000001</v>
      </c>
      <c r="E122" s="487">
        <f t="shared" si="40"/>
        <v>76878</v>
      </c>
      <c r="F122" s="486">
        <f t="shared" si="41"/>
        <v>1583374.1400000001</v>
      </c>
      <c r="G122" s="486">
        <f t="shared" si="42"/>
        <v>1621813.1400000001</v>
      </c>
      <c r="H122" s="487">
        <f t="shared" si="45"/>
        <v>263868.59623442264</v>
      </c>
      <c r="I122" s="543">
        <f t="shared" si="46"/>
        <v>263868.59623442264</v>
      </c>
      <c r="J122" s="479">
        <f t="shared" si="23"/>
        <v>0</v>
      </c>
      <c r="K122" s="479"/>
      <c r="L122" s="488"/>
      <c r="M122" s="479">
        <f t="shared" si="44"/>
        <v>0</v>
      </c>
      <c r="N122" s="488"/>
      <c r="O122" s="479">
        <f t="shared" si="38"/>
        <v>0</v>
      </c>
      <c r="P122" s="479">
        <f t="shared" si="39"/>
        <v>0</v>
      </c>
    </row>
    <row r="123" spans="2:16" ht="12.5">
      <c r="B123" s="160" t="str">
        <f t="shared" si="29"/>
        <v/>
      </c>
      <c r="C123" s="473">
        <f>IF(D93="","-",+C122+1)</f>
        <v>2036</v>
      </c>
      <c r="D123" s="347">
        <f>IF(F122+SUM(E$99:E122)=D$92,F122,D$92-SUM(E$99:E122))</f>
        <v>1583374.1400000001</v>
      </c>
      <c r="E123" s="487">
        <f t="shared" si="40"/>
        <v>76878</v>
      </c>
      <c r="F123" s="486">
        <f t="shared" si="41"/>
        <v>1506496.1400000001</v>
      </c>
      <c r="G123" s="486">
        <f t="shared" si="42"/>
        <v>1544935.1400000001</v>
      </c>
      <c r="H123" s="487">
        <f t="shared" si="45"/>
        <v>255004.77419305604</v>
      </c>
      <c r="I123" s="543">
        <f t="shared" si="46"/>
        <v>255004.77419305604</v>
      </c>
      <c r="J123" s="479">
        <f t="shared" si="23"/>
        <v>0</v>
      </c>
      <c r="K123" s="479"/>
      <c r="L123" s="488"/>
      <c r="M123" s="479">
        <f t="shared" si="44"/>
        <v>0</v>
      </c>
      <c r="N123" s="488"/>
      <c r="O123" s="479">
        <f t="shared" si="38"/>
        <v>0</v>
      </c>
      <c r="P123" s="479">
        <f t="shared" si="39"/>
        <v>0</v>
      </c>
    </row>
    <row r="124" spans="2:16" ht="12.5">
      <c r="B124" s="160" t="str">
        <f t="shared" si="29"/>
        <v/>
      </c>
      <c r="C124" s="473">
        <f>IF(D93="","-",+C123+1)</f>
        <v>2037</v>
      </c>
      <c r="D124" s="347">
        <f>IF(F123+SUM(E$99:E123)=D$92,F123,D$92-SUM(E$99:E123))</f>
        <v>1506496.1400000001</v>
      </c>
      <c r="E124" s="487">
        <f t="shared" si="40"/>
        <v>76878</v>
      </c>
      <c r="F124" s="486">
        <f t="shared" si="41"/>
        <v>1429618.1400000001</v>
      </c>
      <c r="G124" s="486">
        <f t="shared" si="42"/>
        <v>1468057.1400000001</v>
      </c>
      <c r="H124" s="487">
        <f t="shared" si="45"/>
        <v>246140.95215168947</v>
      </c>
      <c r="I124" s="543">
        <f t="shared" si="46"/>
        <v>246140.95215168947</v>
      </c>
      <c r="J124" s="479">
        <f t="shared" si="23"/>
        <v>0</v>
      </c>
      <c r="K124" s="479"/>
      <c r="L124" s="488"/>
      <c r="M124" s="479">
        <f t="shared" si="44"/>
        <v>0</v>
      </c>
      <c r="N124" s="488"/>
      <c r="O124" s="479">
        <f t="shared" si="38"/>
        <v>0</v>
      </c>
      <c r="P124" s="479">
        <f t="shared" si="39"/>
        <v>0</v>
      </c>
    </row>
    <row r="125" spans="2:16" ht="12.5">
      <c r="B125" s="160" t="str">
        <f t="shared" si="29"/>
        <v/>
      </c>
      <c r="C125" s="473">
        <f>IF(D93="","-",+C124+1)</f>
        <v>2038</v>
      </c>
      <c r="D125" s="347">
        <f>IF(F124+SUM(E$99:E124)=D$92,F124,D$92-SUM(E$99:E124))</f>
        <v>1429618.1400000001</v>
      </c>
      <c r="E125" s="487">
        <f t="shared" si="40"/>
        <v>76878</v>
      </c>
      <c r="F125" s="486">
        <f t="shared" si="41"/>
        <v>1352740.1400000001</v>
      </c>
      <c r="G125" s="486">
        <f t="shared" si="42"/>
        <v>1391179.1400000001</v>
      </c>
      <c r="H125" s="487">
        <f t="shared" si="45"/>
        <v>237277.13011032288</v>
      </c>
      <c r="I125" s="543">
        <f t="shared" si="46"/>
        <v>237277.13011032288</v>
      </c>
      <c r="J125" s="479">
        <f t="shared" si="23"/>
        <v>0</v>
      </c>
      <c r="K125" s="479"/>
      <c r="L125" s="488"/>
      <c r="M125" s="479">
        <f t="shared" si="44"/>
        <v>0</v>
      </c>
      <c r="N125" s="488"/>
      <c r="O125" s="479">
        <f t="shared" si="38"/>
        <v>0</v>
      </c>
      <c r="P125" s="479">
        <f t="shared" si="39"/>
        <v>0</v>
      </c>
    </row>
    <row r="126" spans="2:16" ht="12.5">
      <c r="B126" s="160" t="str">
        <f t="shared" si="29"/>
        <v/>
      </c>
      <c r="C126" s="473">
        <f>IF(D93="","-",+C125+1)</f>
        <v>2039</v>
      </c>
      <c r="D126" s="347">
        <f>IF(F125+SUM(E$99:E125)=D$92,F125,D$92-SUM(E$99:E125))</f>
        <v>1352740.1400000001</v>
      </c>
      <c r="E126" s="487">
        <f t="shared" si="40"/>
        <v>76878</v>
      </c>
      <c r="F126" s="486">
        <f t="shared" si="41"/>
        <v>1275862.1400000001</v>
      </c>
      <c r="G126" s="486">
        <f t="shared" si="42"/>
        <v>1314301.1400000001</v>
      </c>
      <c r="H126" s="487">
        <f t="shared" si="45"/>
        <v>228413.30806895631</v>
      </c>
      <c r="I126" s="543">
        <f t="shared" si="46"/>
        <v>228413.30806895631</v>
      </c>
      <c r="J126" s="479">
        <f t="shared" si="23"/>
        <v>0</v>
      </c>
      <c r="K126" s="479"/>
      <c r="L126" s="488"/>
      <c r="M126" s="479">
        <f t="shared" si="44"/>
        <v>0</v>
      </c>
      <c r="N126" s="488"/>
      <c r="O126" s="479">
        <f t="shared" si="38"/>
        <v>0</v>
      </c>
      <c r="P126" s="479">
        <f t="shared" si="39"/>
        <v>0</v>
      </c>
    </row>
    <row r="127" spans="2:16" ht="12.5">
      <c r="B127" s="160" t="str">
        <f t="shared" si="29"/>
        <v/>
      </c>
      <c r="C127" s="473">
        <f>IF(D93="","-",+C126+1)</f>
        <v>2040</v>
      </c>
      <c r="D127" s="347">
        <f>IF(F126+SUM(E$99:E126)=D$92,F126,D$92-SUM(E$99:E126))</f>
        <v>1275862.1400000001</v>
      </c>
      <c r="E127" s="487">
        <f t="shared" si="40"/>
        <v>76878</v>
      </c>
      <c r="F127" s="486">
        <f t="shared" si="41"/>
        <v>1198984.1400000001</v>
      </c>
      <c r="G127" s="486">
        <f t="shared" si="42"/>
        <v>1237423.1400000001</v>
      </c>
      <c r="H127" s="487">
        <f t="shared" si="45"/>
        <v>219549.48602758974</v>
      </c>
      <c r="I127" s="543">
        <f t="shared" si="46"/>
        <v>219549.48602758974</v>
      </c>
      <c r="J127" s="479">
        <f t="shared" si="23"/>
        <v>0</v>
      </c>
      <c r="K127" s="479"/>
      <c r="L127" s="488"/>
      <c r="M127" s="479">
        <f t="shared" si="44"/>
        <v>0</v>
      </c>
      <c r="N127" s="488"/>
      <c r="O127" s="479">
        <f t="shared" si="38"/>
        <v>0</v>
      </c>
      <c r="P127" s="479">
        <f t="shared" si="39"/>
        <v>0</v>
      </c>
    </row>
    <row r="128" spans="2:16" ht="12.5">
      <c r="B128" s="160" t="str">
        <f t="shared" si="29"/>
        <v/>
      </c>
      <c r="C128" s="473">
        <f>IF(D93="","-",+C127+1)</f>
        <v>2041</v>
      </c>
      <c r="D128" s="347">
        <f>IF(F127+SUM(E$99:E127)=D$92,F127,D$92-SUM(E$99:E127))</f>
        <v>1198984.1400000001</v>
      </c>
      <c r="E128" s="487">
        <f t="shared" si="40"/>
        <v>76878</v>
      </c>
      <c r="F128" s="486">
        <f t="shared" si="41"/>
        <v>1122106.1400000001</v>
      </c>
      <c r="G128" s="486">
        <f t="shared" si="42"/>
        <v>1160545.1400000001</v>
      </c>
      <c r="H128" s="487">
        <f t="shared" si="45"/>
        <v>210685.66398622314</v>
      </c>
      <c r="I128" s="543">
        <f t="shared" si="46"/>
        <v>210685.66398622314</v>
      </c>
      <c r="J128" s="479">
        <f t="shared" si="23"/>
        <v>0</v>
      </c>
      <c r="K128" s="479"/>
      <c r="L128" s="488"/>
      <c r="M128" s="479">
        <f t="shared" si="44"/>
        <v>0</v>
      </c>
      <c r="N128" s="488"/>
      <c r="O128" s="479">
        <f t="shared" si="38"/>
        <v>0</v>
      </c>
      <c r="P128" s="479">
        <f t="shared" si="39"/>
        <v>0</v>
      </c>
    </row>
    <row r="129" spans="2:16" ht="12.5">
      <c r="B129" s="160" t="str">
        <f t="shared" si="29"/>
        <v/>
      </c>
      <c r="C129" s="473">
        <f>IF(D93="","-",+C128+1)</f>
        <v>2042</v>
      </c>
      <c r="D129" s="347">
        <f>IF(F128+SUM(E$99:E128)=D$92,F128,D$92-SUM(E$99:E128))</f>
        <v>1122106.1400000001</v>
      </c>
      <c r="E129" s="487">
        <f t="shared" si="40"/>
        <v>76878</v>
      </c>
      <c r="F129" s="486">
        <f t="shared" si="41"/>
        <v>1045228.1400000001</v>
      </c>
      <c r="G129" s="486">
        <f t="shared" si="42"/>
        <v>1083667.1400000001</v>
      </c>
      <c r="H129" s="487">
        <f t="shared" si="45"/>
        <v>201821.84194485657</v>
      </c>
      <c r="I129" s="543">
        <f t="shared" si="46"/>
        <v>201821.84194485657</v>
      </c>
      <c r="J129" s="479">
        <f t="shared" si="23"/>
        <v>0</v>
      </c>
      <c r="K129" s="479"/>
      <c r="L129" s="488"/>
      <c r="M129" s="479">
        <f t="shared" si="44"/>
        <v>0</v>
      </c>
      <c r="N129" s="488"/>
      <c r="O129" s="479">
        <f t="shared" si="38"/>
        <v>0</v>
      </c>
      <c r="P129" s="479">
        <f t="shared" si="39"/>
        <v>0</v>
      </c>
    </row>
    <row r="130" spans="2:16" ht="12.5">
      <c r="B130" s="160" t="str">
        <f t="shared" si="29"/>
        <v/>
      </c>
      <c r="C130" s="473">
        <f>IF(D93="","-",+C129+1)</f>
        <v>2043</v>
      </c>
      <c r="D130" s="347">
        <f>IF(F129+SUM(E$99:E129)=D$92,F129,D$92-SUM(E$99:E129))</f>
        <v>1045228.1400000001</v>
      </c>
      <c r="E130" s="487">
        <f t="shared" si="40"/>
        <v>76878</v>
      </c>
      <c r="F130" s="486">
        <f t="shared" si="41"/>
        <v>968350.14000000013</v>
      </c>
      <c r="G130" s="486">
        <f t="shared" si="42"/>
        <v>1006789.1400000001</v>
      </c>
      <c r="H130" s="487">
        <f t="shared" si="45"/>
        <v>192958.01990348997</v>
      </c>
      <c r="I130" s="543">
        <f t="shared" si="46"/>
        <v>192958.01990348997</v>
      </c>
      <c r="J130" s="479">
        <f t="shared" si="23"/>
        <v>0</v>
      </c>
      <c r="K130" s="479"/>
      <c r="L130" s="488"/>
      <c r="M130" s="479">
        <f t="shared" si="44"/>
        <v>0</v>
      </c>
      <c r="N130" s="488"/>
      <c r="O130" s="479">
        <f t="shared" si="38"/>
        <v>0</v>
      </c>
      <c r="P130" s="479">
        <f t="shared" si="39"/>
        <v>0</v>
      </c>
    </row>
    <row r="131" spans="2:16" ht="12.5">
      <c r="B131" s="160" t="str">
        <f t="shared" si="29"/>
        <v/>
      </c>
      <c r="C131" s="473">
        <f>IF(D93="","-",+C130+1)</f>
        <v>2044</v>
      </c>
      <c r="D131" s="347">
        <f>IF(F130+SUM(E$99:E130)=D$92,F130,D$92-SUM(E$99:E130))</f>
        <v>968350.14000000013</v>
      </c>
      <c r="E131" s="487">
        <f t="shared" si="40"/>
        <v>76878</v>
      </c>
      <c r="F131" s="486">
        <f t="shared" si="41"/>
        <v>891472.14000000013</v>
      </c>
      <c r="G131" s="486">
        <f t="shared" si="42"/>
        <v>929911.14000000013</v>
      </c>
      <c r="H131" s="487">
        <f t="shared" si="45"/>
        <v>184094.19786212343</v>
      </c>
      <c r="I131" s="543">
        <f t="shared" si="46"/>
        <v>184094.19786212343</v>
      </c>
      <c r="J131" s="479">
        <f t="shared" ref="J131:J154" si="47">+I541-H541</f>
        <v>0</v>
      </c>
      <c r="K131" s="479"/>
      <c r="L131" s="488"/>
      <c r="M131" s="479">
        <f t="shared" ref="M131:M154" si="48">IF(L541&lt;&gt;0,+H541-L541,0)</f>
        <v>0</v>
      </c>
      <c r="N131" s="488"/>
      <c r="O131" s="479">
        <f t="shared" ref="O131:O154" si="49">IF(N541&lt;&gt;0,+I541-N541,0)</f>
        <v>0</v>
      </c>
      <c r="P131" s="479">
        <f t="shared" ref="P131:P154" si="50">+O541-M541</f>
        <v>0</v>
      </c>
    </row>
    <row r="132" spans="2:16" ht="12.5">
      <c r="B132" s="160" t="str">
        <f t="shared" ref="B132:B154" si="51">IF(D132=F131,"","IU")</f>
        <v/>
      </c>
      <c r="C132" s="473">
        <f>IF(D93="","-",+C131+1)</f>
        <v>2045</v>
      </c>
      <c r="D132" s="347">
        <f>IF(F131+SUM(E$99:E131)=D$92,F131,D$92-SUM(E$99:E131))</f>
        <v>891472.14000000013</v>
      </c>
      <c r="E132" s="487">
        <f t="shared" si="40"/>
        <v>76878</v>
      </c>
      <c r="F132" s="486">
        <f t="shared" si="41"/>
        <v>814594.14000000013</v>
      </c>
      <c r="G132" s="486">
        <f t="shared" si="42"/>
        <v>853033.14000000013</v>
      </c>
      <c r="H132" s="487">
        <f t="shared" si="45"/>
        <v>175230.37582075683</v>
      </c>
      <c r="I132" s="543">
        <f t="shared" si="46"/>
        <v>175230.37582075683</v>
      </c>
      <c r="J132" s="479">
        <f t="shared" si="47"/>
        <v>0</v>
      </c>
      <c r="K132" s="479"/>
      <c r="L132" s="488"/>
      <c r="M132" s="479">
        <f t="shared" si="48"/>
        <v>0</v>
      </c>
      <c r="N132" s="488"/>
      <c r="O132" s="479">
        <f t="shared" si="49"/>
        <v>0</v>
      </c>
      <c r="P132" s="479">
        <f t="shared" si="50"/>
        <v>0</v>
      </c>
    </row>
    <row r="133" spans="2:16" ht="12.5">
      <c r="B133" s="160" t="str">
        <f t="shared" si="51"/>
        <v/>
      </c>
      <c r="C133" s="473">
        <f>IF(D93="","-",+C132+1)</f>
        <v>2046</v>
      </c>
      <c r="D133" s="347">
        <f>IF(F132+SUM(E$99:E132)=D$92,F132,D$92-SUM(E$99:E132))</f>
        <v>814594.14000000013</v>
      </c>
      <c r="E133" s="487">
        <f t="shared" si="40"/>
        <v>76878</v>
      </c>
      <c r="F133" s="486">
        <f t="shared" si="41"/>
        <v>737716.14000000013</v>
      </c>
      <c r="G133" s="486">
        <f t="shared" si="42"/>
        <v>776155.14000000013</v>
      </c>
      <c r="H133" s="487">
        <f t="shared" si="45"/>
        <v>166366.55377939023</v>
      </c>
      <c r="I133" s="543">
        <f t="shared" si="46"/>
        <v>166366.55377939023</v>
      </c>
      <c r="J133" s="479">
        <f t="shared" si="47"/>
        <v>0</v>
      </c>
      <c r="K133" s="479"/>
      <c r="L133" s="488"/>
      <c r="M133" s="479">
        <f t="shared" si="48"/>
        <v>0</v>
      </c>
      <c r="N133" s="488"/>
      <c r="O133" s="479">
        <f t="shared" si="49"/>
        <v>0</v>
      </c>
      <c r="P133" s="479">
        <f t="shared" si="50"/>
        <v>0</v>
      </c>
    </row>
    <row r="134" spans="2:16" ht="12.5">
      <c r="B134" s="160" t="str">
        <f t="shared" si="51"/>
        <v/>
      </c>
      <c r="C134" s="473">
        <f>IF(D93="","-",+C133+1)</f>
        <v>2047</v>
      </c>
      <c r="D134" s="347">
        <f>IF(F133+SUM(E$99:E133)=D$92,F133,D$92-SUM(E$99:E133))</f>
        <v>737716.14000000013</v>
      </c>
      <c r="E134" s="487">
        <f t="shared" si="40"/>
        <v>76878</v>
      </c>
      <c r="F134" s="486">
        <f t="shared" si="41"/>
        <v>660838.14000000013</v>
      </c>
      <c r="G134" s="486">
        <f t="shared" si="42"/>
        <v>699277.14000000013</v>
      </c>
      <c r="H134" s="487">
        <f t="shared" si="45"/>
        <v>157502.73173802369</v>
      </c>
      <c r="I134" s="543">
        <f t="shared" si="46"/>
        <v>157502.73173802369</v>
      </c>
      <c r="J134" s="479">
        <f t="shared" si="47"/>
        <v>0</v>
      </c>
      <c r="K134" s="479"/>
      <c r="L134" s="488"/>
      <c r="M134" s="479">
        <f t="shared" si="48"/>
        <v>0</v>
      </c>
      <c r="N134" s="488"/>
      <c r="O134" s="479">
        <f t="shared" si="49"/>
        <v>0</v>
      </c>
      <c r="P134" s="479">
        <f t="shared" si="50"/>
        <v>0</v>
      </c>
    </row>
    <row r="135" spans="2:16" ht="12.5">
      <c r="B135" s="160" t="str">
        <f t="shared" si="51"/>
        <v/>
      </c>
      <c r="C135" s="473">
        <f>IF(D93="","-",+C134+1)</f>
        <v>2048</v>
      </c>
      <c r="D135" s="347">
        <f>IF(F134+SUM(E$99:E134)=D$92,F134,D$92-SUM(E$99:E134))</f>
        <v>660838.14000000013</v>
      </c>
      <c r="E135" s="487">
        <f t="shared" si="40"/>
        <v>76878</v>
      </c>
      <c r="F135" s="486">
        <f t="shared" si="41"/>
        <v>583960.14000000013</v>
      </c>
      <c r="G135" s="486">
        <f t="shared" si="42"/>
        <v>622399.14000000013</v>
      </c>
      <c r="H135" s="487">
        <f t="shared" si="45"/>
        <v>148638.90969665709</v>
      </c>
      <c r="I135" s="543">
        <f t="shared" si="46"/>
        <v>148638.90969665709</v>
      </c>
      <c r="J135" s="479">
        <f t="shared" si="47"/>
        <v>0</v>
      </c>
      <c r="K135" s="479"/>
      <c r="L135" s="488"/>
      <c r="M135" s="479">
        <f t="shared" si="48"/>
        <v>0</v>
      </c>
      <c r="N135" s="488"/>
      <c r="O135" s="479">
        <f t="shared" si="49"/>
        <v>0</v>
      </c>
      <c r="P135" s="479">
        <f t="shared" si="50"/>
        <v>0</v>
      </c>
    </row>
    <row r="136" spans="2:16" ht="12.5">
      <c r="B136" s="160" t="str">
        <f t="shared" si="51"/>
        <v/>
      </c>
      <c r="C136" s="473">
        <f>IF(D93="","-",+C135+1)</f>
        <v>2049</v>
      </c>
      <c r="D136" s="347">
        <f>IF(F135+SUM(E$99:E135)=D$92,F135,D$92-SUM(E$99:E135))</f>
        <v>583960.14000000013</v>
      </c>
      <c r="E136" s="487">
        <f t="shared" si="40"/>
        <v>76878</v>
      </c>
      <c r="F136" s="486">
        <f t="shared" si="41"/>
        <v>507082.14000000013</v>
      </c>
      <c r="G136" s="486">
        <f t="shared" si="42"/>
        <v>545521.14000000013</v>
      </c>
      <c r="H136" s="487">
        <f t="shared" si="45"/>
        <v>139775.08765529052</v>
      </c>
      <c r="I136" s="543">
        <f t="shared" si="46"/>
        <v>139775.08765529052</v>
      </c>
      <c r="J136" s="479">
        <f t="shared" si="47"/>
        <v>0</v>
      </c>
      <c r="K136" s="479"/>
      <c r="L136" s="488"/>
      <c r="M136" s="479">
        <f t="shared" si="48"/>
        <v>0</v>
      </c>
      <c r="N136" s="488"/>
      <c r="O136" s="479">
        <f t="shared" si="49"/>
        <v>0</v>
      </c>
      <c r="P136" s="479">
        <f t="shared" si="50"/>
        <v>0</v>
      </c>
    </row>
    <row r="137" spans="2:16" ht="12.5">
      <c r="B137" s="160" t="str">
        <f t="shared" si="51"/>
        <v/>
      </c>
      <c r="C137" s="473">
        <f>IF(D93="","-",+C136+1)</f>
        <v>2050</v>
      </c>
      <c r="D137" s="347">
        <f>IF(F136+SUM(E$99:E136)=D$92,F136,D$92-SUM(E$99:E136))</f>
        <v>507082.14000000013</v>
      </c>
      <c r="E137" s="487">
        <f t="shared" si="40"/>
        <v>76878</v>
      </c>
      <c r="F137" s="486">
        <f t="shared" si="41"/>
        <v>430204.14000000013</v>
      </c>
      <c r="G137" s="486">
        <f t="shared" si="42"/>
        <v>468643.14000000013</v>
      </c>
      <c r="H137" s="487">
        <f t="shared" si="45"/>
        <v>130911.26561392394</v>
      </c>
      <c r="I137" s="543">
        <f t="shared" si="46"/>
        <v>130911.26561392394</v>
      </c>
      <c r="J137" s="479">
        <f t="shared" si="47"/>
        <v>0</v>
      </c>
      <c r="K137" s="479"/>
      <c r="L137" s="488"/>
      <c r="M137" s="479">
        <f t="shared" si="48"/>
        <v>0</v>
      </c>
      <c r="N137" s="488"/>
      <c r="O137" s="479">
        <f t="shared" si="49"/>
        <v>0</v>
      </c>
      <c r="P137" s="479">
        <f t="shared" si="50"/>
        <v>0</v>
      </c>
    </row>
    <row r="138" spans="2:16" ht="12.5">
      <c r="B138" s="160" t="str">
        <f t="shared" si="51"/>
        <v/>
      </c>
      <c r="C138" s="473">
        <f>IF(D93="","-",+C137+1)</f>
        <v>2051</v>
      </c>
      <c r="D138" s="347">
        <f>IF(F137+SUM(E$99:E137)=D$92,F137,D$92-SUM(E$99:E137))</f>
        <v>430204.14000000013</v>
      </c>
      <c r="E138" s="487">
        <f t="shared" si="40"/>
        <v>76878</v>
      </c>
      <c r="F138" s="486">
        <f t="shared" si="41"/>
        <v>353326.14000000013</v>
      </c>
      <c r="G138" s="486">
        <f t="shared" si="42"/>
        <v>391765.14000000013</v>
      </c>
      <c r="H138" s="487">
        <f t="shared" si="45"/>
        <v>122047.44357255736</v>
      </c>
      <c r="I138" s="543">
        <f t="shared" si="46"/>
        <v>122047.44357255736</v>
      </c>
      <c r="J138" s="479">
        <f t="shared" si="47"/>
        <v>0</v>
      </c>
      <c r="K138" s="479"/>
      <c r="L138" s="488"/>
      <c r="M138" s="479">
        <f t="shared" si="48"/>
        <v>0</v>
      </c>
      <c r="N138" s="488"/>
      <c r="O138" s="479">
        <f t="shared" si="49"/>
        <v>0</v>
      </c>
      <c r="P138" s="479">
        <f t="shared" si="50"/>
        <v>0</v>
      </c>
    </row>
    <row r="139" spans="2:16" ht="12.5">
      <c r="B139" s="160" t="str">
        <f t="shared" si="51"/>
        <v/>
      </c>
      <c r="C139" s="473">
        <f>IF(D93="","-",+C138+1)</f>
        <v>2052</v>
      </c>
      <c r="D139" s="347">
        <f>IF(F138+SUM(E$99:E138)=D$92,F138,D$92-SUM(E$99:E138))</f>
        <v>353326.14000000013</v>
      </c>
      <c r="E139" s="487">
        <f t="shared" si="40"/>
        <v>76878</v>
      </c>
      <c r="F139" s="486">
        <f t="shared" si="41"/>
        <v>276448.14000000013</v>
      </c>
      <c r="G139" s="486">
        <f t="shared" si="42"/>
        <v>314887.14000000013</v>
      </c>
      <c r="H139" s="487">
        <f t="shared" si="45"/>
        <v>113183.62153119079</v>
      </c>
      <c r="I139" s="543">
        <f t="shared" si="46"/>
        <v>113183.62153119079</v>
      </c>
      <c r="J139" s="479">
        <f t="shared" si="47"/>
        <v>0</v>
      </c>
      <c r="K139" s="479"/>
      <c r="L139" s="488"/>
      <c r="M139" s="479">
        <f t="shared" si="48"/>
        <v>0</v>
      </c>
      <c r="N139" s="488"/>
      <c r="O139" s="479">
        <f t="shared" si="49"/>
        <v>0</v>
      </c>
      <c r="P139" s="479">
        <f t="shared" si="50"/>
        <v>0</v>
      </c>
    </row>
    <row r="140" spans="2:16" ht="12.5">
      <c r="B140" s="160" t="str">
        <f t="shared" si="51"/>
        <v/>
      </c>
      <c r="C140" s="473">
        <f>IF(D93="","-",+C139+1)</f>
        <v>2053</v>
      </c>
      <c r="D140" s="347">
        <f>IF(F139+SUM(E$99:E139)=D$92,F139,D$92-SUM(E$99:E139))</f>
        <v>276448.14000000013</v>
      </c>
      <c r="E140" s="487">
        <f t="shared" si="40"/>
        <v>76878</v>
      </c>
      <c r="F140" s="486">
        <f t="shared" si="41"/>
        <v>199570.14000000013</v>
      </c>
      <c r="G140" s="486">
        <f t="shared" si="42"/>
        <v>238009.14000000013</v>
      </c>
      <c r="H140" s="487">
        <f t="shared" si="45"/>
        <v>104319.7994898242</v>
      </c>
      <c r="I140" s="543">
        <f t="shared" si="46"/>
        <v>104319.7994898242</v>
      </c>
      <c r="J140" s="479">
        <f t="shared" si="47"/>
        <v>0</v>
      </c>
      <c r="K140" s="479"/>
      <c r="L140" s="488"/>
      <c r="M140" s="479">
        <f t="shared" si="48"/>
        <v>0</v>
      </c>
      <c r="N140" s="488"/>
      <c r="O140" s="479">
        <f t="shared" si="49"/>
        <v>0</v>
      </c>
      <c r="P140" s="479">
        <f t="shared" si="50"/>
        <v>0</v>
      </c>
    </row>
    <row r="141" spans="2:16" ht="12.5">
      <c r="B141" s="160" t="str">
        <f t="shared" si="51"/>
        <v/>
      </c>
      <c r="C141" s="473">
        <f>IF(D93="","-",+C140+1)</f>
        <v>2054</v>
      </c>
      <c r="D141" s="347">
        <f>IF(F140+SUM(E$99:E140)=D$92,F140,D$92-SUM(E$99:E140))</f>
        <v>199570.14000000013</v>
      </c>
      <c r="E141" s="487">
        <f t="shared" si="40"/>
        <v>76878</v>
      </c>
      <c r="F141" s="486">
        <f t="shared" si="41"/>
        <v>122692.14000000013</v>
      </c>
      <c r="G141" s="486">
        <f t="shared" si="42"/>
        <v>161131.14000000013</v>
      </c>
      <c r="H141" s="487">
        <f t="shared" si="45"/>
        <v>95455.977448457619</v>
      </c>
      <c r="I141" s="543">
        <f t="shared" si="46"/>
        <v>95455.977448457619</v>
      </c>
      <c r="J141" s="479">
        <f t="shared" si="47"/>
        <v>0</v>
      </c>
      <c r="K141" s="479"/>
      <c r="L141" s="488"/>
      <c r="M141" s="479">
        <f t="shared" si="48"/>
        <v>0</v>
      </c>
      <c r="N141" s="488"/>
      <c r="O141" s="479">
        <f t="shared" si="49"/>
        <v>0</v>
      </c>
      <c r="P141" s="479">
        <f t="shared" si="50"/>
        <v>0</v>
      </c>
    </row>
    <row r="142" spans="2:16" ht="12.5">
      <c r="B142" s="160" t="str">
        <f t="shared" si="51"/>
        <v/>
      </c>
      <c r="C142" s="473">
        <f>IF(D93="","-",+C141+1)</f>
        <v>2055</v>
      </c>
      <c r="D142" s="347">
        <f>IF(F141+SUM(E$99:E141)=D$92,F141,D$92-SUM(E$99:E141))</f>
        <v>122692.14000000013</v>
      </c>
      <c r="E142" s="487">
        <f t="shared" si="40"/>
        <v>76878</v>
      </c>
      <c r="F142" s="486">
        <f t="shared" si="41"/>
        <v>45814.14000000013</v>
      </c>
      <c r="G142" s="486">
        <f t="shared" si="42"/>
        <v>84253.14000000013</v>
      </c>
      <c r="H142" s="487">
        <f t="shared" si="45"/>
        <v>86592.15540709105</v>
      </c>
      <c r="I142" s="543">
        <f t="shared" si="46"/>
        <v>86592.15540709105</v>
      </c>
      <c r="J142" s="479">
        <f t="shared" si="47"/>
        <v>0</v>
      </c>
      <c r="K142" s="479"/>
      <c r="L142" s="488"/>
      <c r="M142" s="479">
        <f t="shared" si="48"/>
        <v>0</v>
      </c>
      <c r="N142" s="488"/>
      <c r="O142" s="479">
        <f t="shared" si="49"/>
        <v>0</v>
      </c>
      <c r="P142" s="479">
        <f t="shared" si="50"/>
        <v>0</v>
      </c>
    </row>
    <row r="143" spans="2:16" ht="12.5">
      <c r="B143" s="160" t="str">
        <f t="shared" si="51"/>
        <v/>
      </c>
      <c r="C143" s="473">
        <f>IF(D93="","-",+C142+1)</f>
        <v>2056</v>
      </c>
      <c r="D143" s="347">
        <f>IF(F142+SUM(E$99:E142)=D$92,F142,D$92-SUM(E$99:E142))</f>
        <v>45814.14000000013</v>
      </c>
      <c r="E143" s="487">
        <f t="shared" si="40"/>
        <v>45814.14000000013</v>
      </c>
      <c r="F143" s="486">
        <f t="shared" si="41"/>
        <v>0</v>
      </c>
      <c r="G143" s="486">
        <f t="shared" si="42"/>
        <v>22907.070000000065</v>
      </c>
      <c r="H143" s="487">
        <f t="shared" si="45"/>
        <v>48455.262193204006</v>
      </c>
      <c r="I143" s="543">
        <f t="shared" si="46"/>
        <v>48455.262193204006</v>
      </c>
      <c r="J143" s="479">
        <f t="shared" si="47"/>
        <v>0</v>
      </c>
      <c r="K143" s="479"/>
      <c r="L143" s="488"/>
      <c r="M143" s="479">
        <f t="shared" si="48"/>
        <v>0</v>
      </c>
      <c r="N143" s="488"/>
      <c r="O143" s="479">
        <f t="shared" si="49"/>
        <v>0</v>
      </c>
      <c r="P143" s="479">
        <f t="shared" si="50"/>
        <v>0</v>
      </c>
    </row>
    <row r="144" spans="2:16" ht="12.5">
      <c r="B144" s="160" t="str">
        <f t="shared" si="51"/>
        <v/>
      </c>
      <c r="C144" s="473">
        <f>IF(D93="","-",+C143+1)</f>
        <v>2057</v>
      </c>
      <c r="D144" s="347">
        <f>IF(F143+SUM(E$99:E143)=D$92,F143,D$92-SUM(E$99:E143))</f>
        <v>0</v>
      </c>
      <c r="E144" s="487">
        <f t="shared" si="40"/>
        <v>0</v>
      </c>
      <c r="F144" s="486">
        <f t="shared" si="41"/>
        <v>0</v>
      </c>
      <c r="G144" s="486">
        <f t="shared" si="42"/>
        <v>0</v>
      </c>
      <c r="H144" s="487">
        <f t="shared" si="45"/>
        <v>0</v>
      </c>
      <c r="I144" s="543">
        <f t="shared" si="46"/>
        <v>0</v>
      </c>
      <c r="J144" s="479">
        <f t="shared" si="47"/>
        <v>0</v>
      </c>
      <c r="K144" s="479"/>
      <c r="L144" s="488"/>
      <c r="M144" s="479">
        <f t="shared" si="48"/>
        <v>0</v>
      </c>
      <c r="N144" s="488"/>
      <c r="O144" s="479">
        <f t="shared" si="49"/>
        <v>0</v>
      </c>
      <c r="P144" s="479">
        <f t="shared" si="50"/>
        <v>0</v>
      </c>
    </row>
    <row r="145" spans="2:16" ht="12.5">
      <c r="B145" s="160" t="str">
        <f t="shared" si="51"/>
        <v/>
      </c>
      <c r="C145" s="473">
        <f>IF(D93="","-",+C144+1)</f>
        <v>2058</v>
      </c>
      <c r="D145" s="347">
        <f>IF(F144+SUM(E$99:E144)=D$92,F144,D$92-SUM(E$99:E144))</f>
        <v>0</v>
      </c>
      <c r="E145" s="487">
        <f t="shared" si="40"/>
        <v>0</v>
      </c>
      <c r="F145" s="486">
        <f t="shared" si="41"/>
        <v>0</v>
      </c>
      <c r="G145" s="486">
        <f t="shared" si="42"/>
        <v>0</v>
      </c>
      <c r="H145" s="487">
        <f t="shared" si="45"/>
        <v>0</v>
      </c>
      <c r="I145" s="543">
        <f t="shared" si="46"/>
        <v>0</v>
      </c>
      <c r="J145" s="479">
        <f t="shared" si="47"/>
        <v>0</v>
      </c>
      <c r="K145" s="479"/>
      <c r="L145" s="488"/>
      <c r="M145" s="479">
        <f t="shared" si="48"/>
        <v>0</v>
      </c>
      <c r="N145" s="488"/>
      <c r="O145" s="479">
        <f t="shared" si="49"/>
        <v>0</v>
      </c>
      <c r="P145" s="479">
        <f t="shared" si="50"/>
        <v>0</v>
      </c>
    </row>
    <row r="146" spans="2:16" ht="12.5">
      <c r="B146" s="160" t="str">
        <f t="shared" si="51"/>
        <v/>
      </c>
      <c r="C146" s="473">
        <f>IF(D93="","-",+C145+1)</f>
        <v>2059</v>
      </c>
      <c r="D146" s="347">
        <f>IF(F145+SUM(E$99:E145)=D$92,F145,D$92-SUM(E$99:E145))</f>
        <v>0</v>
      </c>
      <c r="E146" s="487">
        <f t="shared" si="40"/>
        <v>0</v>
      </c>
      <c r="F146" s="486">
        <f t="shared" si="41"/>
        <v>0</v>
      </c>
      <c r="G146" s="486">
        <f t="shared" si="42"/>
        <v>0</v>
      </c>
      <c r="H146" s="487">
        <f t="shared" si="45"/>
        <v>0</v>
      </c>
      <c r="I146" s="543">
        <f t="shared" si="46"/>
        <v>0</v>
      </c>
      <c r="J146" s="479">
        <f t="shared" si="47"/>
        <v>0</v>
      </c>
      <c r="K146" s="479"/>
      <c r="L146" s="488"/>
      <c r="M146" s="479">
        <f t="shared" si="48"/>
        <v>0</v>
      </c>
      <c r="N146" s="488"/>
      <c r="O146" s="479">
        <f t="shared" si="49"/>
        <v>0</v>
      </c>
      <c r="P146" s="479">
        <f t="shared" si="50"/>
        <v>0</v>
      </c>
    </row>
    <row r="147" spans="2:16" ht="12.5">
      <c r="B147" s="160" t="str">
        <f t="shared" si="51"/>
        <v/>
      </c>
      <c r="C147" s="473">
        <f>IF(D93="","-",+C146+1)</f>
        <v>2060</v>
      </c>
      <c r="D147" s="347">
        <f>IF(F146+SUM(E$99:E146)=D$92,F146,D$92-SUM(E$99:E146))</f>
        <v>0</v>
      </c>
      <c r="E147" s="487">
        <f t="shared" si="40"/>
        <v>0</v>
      </c>
      <c r="F147" s="486">
        <f t="shared" si="41"/>
        <v>0</v>
      </c>
      <c r="G147" s="486">
        <f t="shared" si="42"/>
        <v>0</v>
      </c>
      <c r="H147" s="487">
        <f t="shared" si="45"/>
        <v>0</v>
      </c>
      <c r="I147" s="543">
        <f t="shared" si="46"/>
        <v>0</v>
      </c>
      <c r="J147" s="479">
        <f t="shared" si="47"/>
        <v>0</v>
      </c>
      <c r="K147" s="479"/>
      <c r="L147" s="488"/>
      <c r="M147" s="479">
        <f t="shared" si="48"/>
        <v>0</v>
      </c>
      <c r="N147" s="488"/>
      <c r="O147" s="479">
        <f t="shared" si="49"/>
        <v>0</v>
      </c>
      <c r="P147" s="479">
        <f t="shared" si="50"/>
        <v>0</v>
      </c>
    </row>
    <row r="148" spans="2:16" ht="12.5">
      <c r="B148" s="160" t="str">
        <f t="shared" si="51"/>
        <v/>
      </c>
      <c r="C148" s="473">
        <f>IF(D93="","-",+C147+1)</f>
        <v>2061</v>
      </c>
      <c r="D148" s="347">
        <f>IF(F147+SUM(E$99:E147)=D$92,F147,D$92-SUM(E$99:E147))</f>
        <v>0</v>
      </c>
      <c r="E148" s="487">
        <f t="shared" si="40"/>
        <v>0</v>
      </c>
      <c r="F148" s="486">
        <f t="shared" si="41"/>
        <v>0</v>
      </c>
      <c r="G148" s="486">
        <f t="shared" si="42"/>
        <v>0</v>
      </c>
      <c r="H148" s="487">
        <f t="shared" si="45"/>
        <v>0</v>
      </c>
      <c r="I148" s="543">
        <f t="shared" si="46"/>
        <v>0</v>
      </c>
      <c r="J148" s="479">
        <f t="shared" si="47"/>
        <v>0</v>
      </c>
      <c r="K148" s="479"/>
      <c r="L148" s="488"/>
      <c r="M148" s="479">
        <f t="shared" si="48"/>
        <v>0</v>
      </c>
      <c r="N148" s="488"/>
      <c r="O148" s="479">
        <f t="shared" si="49"/>
        <v>0</v>
      </c>
      <c r="P148" s="479">
        <f t="shared" si="50"/>
        <v>0</v>
      </c>
    </row>
    <row r="149" spans="2:16" ht="12.5">
      <c r="B149" s="160" t="str">
        <f t="shared" si="51"/>
        <v/>
      </c>
      <c r="C149" s="473">
        <f>IF(D93="","-",+C148+1)</f>
        <v>2062</v>
      </c>
      <c r="D149" s="347">
        <f>IF(F148+SUM(E$99:E148)=D$92,F148,D$92-SUM(E$99:E148))</f>
        <v>0</v>
      </c>
      <c r="E149" s="487">
        <f t="shared" si="40"/>
        <v>0</v>
      </c>
      <c r="F149" s="486">
        <f t="shared" si="41"/>
        <v>0</v>
      </c>
      <c r="G149" s="486">
        <f t="shared" si="42"/>
        <v>0</v>
      </c>
      <c r="H149" s="487">
        <f t="shared" si="45"/>
        <v>0</v>
      </c>
      <c r="I149" s="543">
        <f t="shared" si="46"/>
        <v>0</v>
      </c>
      <c r="J149" s="479">
        <f t="shared" si="47"/>
        <v>0</v>
      </c>
      <c r="K149" s="479"/>
      <c r="L149" s="488"/>
      <c r="M149" s="479">
        <f t="shared" si="48"/>
        <v>0</v>
      </c>
      <c r="N149" s="488"/>
      <c r="O149" s="479">
        <f t="shared" si="49"/>
        <v>0</v>
      </c>
      <c r="P149" s="479">
        <f t="shared" si="50"/>
        <v>0</v>
      </c>
    </row>
    <row r="150" spans="2:16" ht="12.5">
      <c r="B150" s="160" t="str">
        <f t="shared" si="51"/>
        <v/>
      </c>
      <c r="C150" s="473">
        <f>IF(D93="","-",+C149+1)</f>
        <v>2063</v>
      </c>
      <c r="D150" s="347">
        <f>IF(F149+SUM(E$99:E149)=D$92,F149,D$92-SUM(E$99:E149))</f>
        <v>0</v>
      </c>
      <c r="E150" s="487">
        <f t="shared" si="40"/>
        <v>0</v>
      </c>
      <c r="F150" s="486">
        <f t="shared" si="41"/>
        <v>0</v>
      </c>
      <c r="G150" s="486">
        <f t="shared" si="42"/>
        <v>0</v>
      </c>
      <c r="H150" s="487">
        <f t="shared" si="45"/>
        <v>0</v>
      </c>
      <c r="I150" s="543">
        <f t="shared" si="46"/>
        <v>0</v>
      </c>
      <c r="J150" s="479">
        <f t="shared" si="47"/>
        <v>0</v>
      </c>
      <c r="K150" s="479"/>
      <c r="L150" s="488"/>
      <c r="M150" s="479">
        <f t="shared" si="48"/>
        <v>0</v>
      </c>
      <c r="N150" s="488"/>
      <c r="O150" s="479">
        <f t="shared" si="49"/>
        <v>0</v>
      </c>
      <c r="P150" s="479">
        <f t="shared" si="50"/>
        <v>0</v>
      </c>
    </row>
    <row r="151" spans="2:16" ht="12.5">
      <c r="B151" s="160" t="str">
        <f t="shared" si="51"/>
        <v/>
      </c>
      <c r="C151" s="473">
        <f>IF(D93="","-",+C150+1)</f>
        <v>2064</v>
      </c>
      <c r="D151" s="347">
        <f>IF(F150+SUM(E$99:E150)=D$92,F150,D$92-SUM(E$99:E150))</f>
        <v>0</v>
      </c>
      <c r="E151" s="487">
        <f t="shared" si="40"/>
        <v>0</v>
      </c>
      <c r="F151" s="486">
        <f t="shared" si="41"/>
        <v>0</v>
      </c>
      <c r="G151" s="486">
        <f t="shared" si="42"/>
        <v>0</v>
      </c>
      <c r="H151" s="487">
        <f t="shared" si="45"/>
        <v>0</v>
      </c>
      <c r="I151" s="543">
        <f t="shared" si="46"/>
        <v>0</v>
      </c>
      <c r="J151" s="479">
        <f t="shared" si="47"/>
        <v>0</v>
      </c>
      <c r="K151" s="479"/>
      <c r="L151" s="488"/>
      <c r="M151" s="479">
        <f t="shared" si="48"/>
        <v>0</v>
      </c>
      <c r="N151" s="488"/>
      <c r="O151" s="479">
        <f t="shared" si="49"/>
        <v>0</v>
      </c>
      <c r="P151" s="479">
        <f t="shared" si="50"/>
        <v>0</v>
      </c>
    </row>
    <row r="152" spans="2:16" ht="12.5">
      <c r="B152" s="160" t="str">
        <f t="shared" si="51"/>
        <v/>
      </c>
      <c r="C152" s="473">
        <f>IF(D93="","-",+C151+1)</f>
        <v>2065</v>
      </c>
      <c r="D152" s="347">
        <f>IF(F151+SUM(E$99:E151)=D$92,F151,D$92-SUM(E$99:E151))</f>
        <v>0</v>
      </c>
      <c r="E152" s="487">
        <f t="shared" si="40"/>
        <v>0</v>
      </c>
      <c r="F152" s="486">
        <f t="shared" si="41"/>
        <v>0</v>
      </c>
      <c r="G152" s="486">
        <f t="shared" si="42"/>
        <v>0</v>
      </c>
      <c r="H152" s="487">
        <f t="shared" si="45"/>
        <v>0</v>
      </c>
      <c r="I152" s="543">
        <f t="shared" si="46"/>
        <v>0</v>
      </c>
      <c r="J152" s="479">
        <f t="shared" si="47"/>
        <v>0</v>
      </c>
      <c r="K152" s="479"/>
      <c r="L152" s="488"/>
      <c r="M152" s="479">
        <f t="shared" si="48"/>
        <v>0</v>
      </c>
      <c r="N152" s="488"/>
      <c r="O152" s="479">
        <f t="shared" si="49"/>
        <v>0</v>
      </c>
      <c r="P152" s="479">
        <f t="shared" si="50"/>
        <v>0</v>
      </c>
    </row>
    <row r="153" spans="2:16" ht="12.5">
      <c r="B153" s="160" t="str">
        <f t="shared" si="51"/>
        <v/>
      </c>
      <c r="C153" s="473">
        <f>IF(D93="","-",+C152+1)</f>
        <v>2066</v>
      </c>
      <c r="D153" s="347">
        <f>IF(F152+SUM(E$99:E152)=D$92,F152,D$92-SUM(E$99:E152))</f>
        <v>0</v>
      </c>
      <c r="E153" s="487">
        <f t="shared" si="40"/>
        <v>0</v>
      </c>
      <c r="F153" s="486">
        <f t="shared" si="41"/>
        <v>0</v>
      </c>
      <c r="G153" s="486">
        <f t="shared" si="42"/>
        <v>0</v>
      </c>
      <c r="H153" s="487">
        <f t="shared" si="45"/>
        <v>0</v>
      </c>
      <c r="I153" s="543">
        <f t="shared" si="46"/>
        <v>0</v>
      </c>
      <c r="J153" s="479">
        <f t="shared" si="47"/>
        <v>0</v>
      </c>
      <c r="K153" s="479"/>
      <c r="L153" s="488"/>
      <c r="M153" s="479">
        <f t="shared" si="48"/>
        <v>0</v>
      </c>
      <c r="N153" s="488"/>
      <c r="O153" s="479">
        <f t="shared" si="49"/>
        <v>0</v>
      </c>
      <c r="P153" s="479">
        <f t="shared" si="50"/>
        <v>0</v>
      </c>
    </row>
    <row r="154" spans="2:16" ht="13" thickBot="1">
      <c r="B154" s="160" t="str">
        <f t="shared" si="51"/>
        <v/>
      </c>
      <c r="C154" s="490">
        <f>IF(D93="","-",+C153+1)</f>
        <v>2067</v>
      </c>
      <c r="D154" s="544">
        <f>IF(F153+SUM(E$99:E153)=D$92,F153,D$92-SUM(E$99:E153))</f>
        <v>0</v>
      </c>
      <c r="E154" s="545">
        <f t="shared" si="40"/>
        <v>0</v>
      </c>
      <c r="F154" s="491">
        <f t="shared" si="41"/>
        <v>0</v>
      </c>
      <c r="G154" s="491">
        <f t="shared" si="42"/>
        <v>0</v>
      </c>
      <c r="H154" s="493">
        <f t="shared" ref="H154" si="52">+J$94*G154+E154</f>
        <v>0</v>
      </c>
      <c r="I154" s="546">
        <f t="shared" ref="I154" si="53">+J$95*G154+E154</f>
        <v>0</v>
      </c>
      <c r="J154" s="496">
        <f t="shared" si="47"/>
        <v>0</v>
      </c>
      <c r="K154" s="479"/>
      <c r="L154" s="495"/>
      <c r="M154" s="496">
        <f t="shared" si="48"/>
        <v>0</v>
      </c>
      <c r="N154" s="495"/>
      <c r="O154" s="496">
        <f t="shared" si="49"/>
        <v>0</v>
      </c>
      <c r="P154" s="496">
        <f t="shared" si="50"/>
        <v>0</v>
      </c>
    </row>
    <row r="155" spans="2:16" ht="12.5">
      <c r="C155" s="347" t="s">
        <v>77</v>
      </c>
      <c r="D155" s="348"/>
      <c r="E155" s="348">
        <f>SUM(E99:E154)</f>
        <v>3305767.14</v>
      </c>
      <c r="F155" s="348"/>
      <c r="G155" s="348"/>
      <c r="H155" s="348">
        <f>SUM(H99:H154)</f>
        <v>11994891.727098389</v>
      </c>
      <c r="I155" s="348">
        <f>SUM(I99:I154)</f>
        <v>11994891.727098389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8:C72">
    <cfRule type="cellIs" dxfId="38" priority="2" stopIfTrue="1" operator="equal">
      <formula>$I$10</formula>
    </cfRule>
  </conditionalFormatting>
  <conditionalFormatting sqref="C99:C154">
    <cfRule type="cellIs" dxfId="37" priority="3" stopIfTrue="1" operator="equal">
      <formula>$J$92</formula>
    </cfRule>
  </conditionalFormatting>
  <conditionalFormatting sqref="C17">
    <cfRule type="cellIs" dxfId="36" priority="1" stopIfTrue="1" operator="equal">
      <formula>$I$10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00000"/>
  </sheetPr>
  <dimension ref="A1:P162"/>
  <sheetViews>
    <sheetView view="pageBreakPreview" topLeftCell="B58" zoomScale="75" zoomScaleNormal="100" workbookViewId="0">
      <selection activeCell="H109" sqref="H109:I10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13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2519.8053226007855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2519.8053226007855</v>
      </c>
      <c r="O6" s="233"/>
      <c r="P6" s="233"/>
    </row>
    <row r="7" spans="1:16" ht="13.5" thickBot="1">
      <c r="C7" s="432" t="s">
        <v>46</v>
      </c>
      <c r="D7" s="433" t="s">
        <v>259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>DOES NOT MEET SPP $100,000 MINIMUM INVESTMENT FOR REGIONAL BPU SHARING.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239</v>
      </c>
      <c r="E9" s="578" t="s">
        <v>294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22097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2010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513.88372093023258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70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D11</f>
        <v>2010</v>
      </c>
      <c r="D17" s="474">
        <v>0</v>
      </c>
      <c r="E17" s="480">
        <v>0</v>
      </c>
      <c r="F17" s="480">
        <v>0</v>
      </c>
      <c r="G17" s="480">
        <v>0</v>
      </c>
      <c r="H17" s="589">
        <v>0</v>
      </c>
      <c r="I17" s="476">
        <f t="shared" ref="I17:I48" si="0">H17-G17</f>
        <v>0</v>
      </c>
      <c r="J17" s="349"/>
      <c r="K17" s="477">
        <f t="shared" ref="K17:K22" si="1">G17</f>
        <v>0</v>
      </c>
      <c r="L17" s="590">
        <f t="shared" ref="L17:L48" si="2">IF(K17&lt;&gt;0,+G17-K17,0)</f>
        <v>0</v>
      </c>
      <c r="M17" s="477">
        <f t="shared" ref="M17:M22" si="3">H17</f>
        <v>0</v>
      </c>
      <c r="N17" s="560">
        <f t="shared" ref="N17:N48" si="4">IF(M17&lt;&gt;0,+H17-M17,0)</f>
        <v>0</v>
      </c>
      <c r="O17" s="479">
        <f t="shared" ref="O17:O48" si="5">+N17-L17</f>
        <v>0</v>
      </c>
      <c r="P17" s="243"/>
    </row>
    <row r="18" spans="2:16" ht="12.5">
      <c r="B18" s="160" t="str">
        <f t="shared" ref="B18:B49" si="6">IF(D18=F17,"","IU")</f>
        <v/>
      </c>
      <c r="C18" s="473">
        <f>IF($D$11="","-",+C17+1)</f>
        <v>2011</v>
      </c>
      <c r="D18" s="474">
        <v>0</v>
      </c>
      <c r="E18" s="480">
        <v>0</v>
      </c>
      <c r="F18" s="480">
        <v>0</v>
      </c>
      <c r="G18" s="480">
        <v>0</v>
      </c>
      <c r="H18" s="589">
        <v>0</v>
      </c>
      <c r="I18" s="476">
        <f t="shared" si="0"/>
        <v>0</v>
      </c>
      <c r="J18" s="349"/>
      <c r="K18" s="477">
        <f t="shared" si="1"/>
        <v>0</v>
      </c>
      <c r="L18" s="349">
        <f t="shared" si="2"/>
        <v>0</v>
      </c>
      <c r="M18" s="477">
        <f t="shared" si="3"/>
        <v>0</v>
      </c>
      <c r="N18" s="476">
        <f t="shared" si="4"/>
        <v>0</v>
      </c>
      <c r="O18" s="479">
        <f t="shared" si="5"/>
        <v>0</v>
      </c>
      <c r="P18" s="243"/>
    </row>
    <row r="19" spans="2:16" ht="12.5">
      <c r="B19" s="160" t="str">
        <f t="shared" si="6"/>
        <v>IU</v>
      </c>
      <c r="C19" s="473">
        <f>IF(D11="","-",+C18+1)</f>
        <v>2012</v>
      </c>
      <c r="D19" s="474">
        <v>22097</v>
      </c>
      <c r="E19" s="481">
        <v>212.47115384615381</v>
      </c>
      <c r="F19" s="474">
        <v>21884.528846153848</v>
      </c>
      <c r="G19" s="481">
        <v>3258.944937760969</v>
      </c>
      <c r="H19" s="482">
        <v>3258.944937760969</v>
      </c>
      <c r="I19" s="476">
        <f>H19-G19</f>
        <v>0</v>
      </c>
      <c r="J19" s="349"/>
      <c r="K19" s="477">
        <f t="shared" si="1"/>
        <v>3258.944937760969</v>
      </c>
      <c r="L19" s="349">
        <f t="shared" si="2"/>
        <v>0</v>
      </c>
      <c r="M19" s="477">
        <f t="shared" si="3"/>
        <v>3258.944937760969</v>
      </c>
      <c r="N19" s="476">
        <f t="shared" si="4"/>
        <v>0</v>
      </c>
      <c r="O19" s="479">
        <f t="shared" si="5"/>
        <v>0</v>
      </c>
      <c r="P19" s="243"/>
    </row>
    <row r="20" spans="2:16" ht="12.5">
      <c r="B20" s="160" t="str">
        <f t="shared" si="6"/>
        <v/>
      </c>
      <c r="C20" s="473">
        <f>IF(D11="","-",+C19+1)</f>
        <v>2013</v>
      </c>
      <c r="D20" s="474">
        <v>21884.528846153848</v>
      </c>
      <c r="E20" s="481">
        <v>424.94230769230768</v>
      </c>
      <c r="F20" s="474">
        <v>21459.586538461539</v>
      </c>
      <c r="G20" s="481">
        <v>3489.9423076923076</v>
      </c>
      <c r="H20" s="482">
        <v>3489.9423076923076</v>
      </c>
      <c r="I20" s="476">
        <v>0</v>
      </c>
      <c r="J20" s="476"/>
      <c r="K20" s="477">
        <f t="shared" si="1"/>
        <v>3489.9423076923076</v>
      </c>
      <c r="L20" s="349">
        <f t="shared" ref="L20:L25" si="7">IF(K20&lt;&gt;0,+G20-K20,0)</f>
        <v>0</v>
      </c>
      <c r="M20" s="477">
        <f t="shared" si="3"/>
        <v>3489.9423076923076</v>
      </c>
      <c r="N20" s="476">
        <f t="shared" ref="N20:N25" si="8">IF(M20&lt;&gt;0,+H20-M20,0)</f>
        <v>0</v>
      </c>
      <c r="O20" s="479">
        <f t="shared" ref="O20:O25" si="9">+N20-L20</f>
        <v>0</v>
      </c>
      <c r="P20" s="243"/>
    </row>
    <row r="21" spans="2:16" ht="12.5">
      <c r="B21" s="160" t="str">
        <f t="shared" si="6"/>
        <v/>
      </c>
      <c r="C21" s="473">
        <f>IF(D11="","-",+C20+1)</f>
        <v>2014</v>
      </c>
      <c r="D21" s="474">
        <v>21459.586538461539</v>
      </c>
      <c r="E21" s="481">
        <v>424.94230769230768</v>
      </c>
      <c r="F21" s="474">
        <v>21034.64423076923</v>
      </c>
      <c r="G21" s="481">
        <v>3320.9423076923076</v>
      </c>
      <c r="H21" s="482">
        <v>3320.9423076923076</v>
      </c>
      <c r="I21" s="476">
        <v>0</v>
      </c>
      <c r="J21" s="476"/>
      <c r="K21" s="477">
        <f t="shared" si="1"/>
        <v>3320.9423076923076</v>
      </c>
      <c r="L21" s="349">
        <f t="shared" si="7"/>
        <v>0</v>
      </c>
      <c r="M21" s="477">
        <f t="shared" si="3"/>
        <v>3320.9423076923076</v>
      </c>
      <c r="N21" s="476">
        <f t="shared" si="8"/>
        <v>0</v>
      </c>
      <c r="O21" s="479">
        <f t="shared" si="9"/>
        <v>0</v>
      </c>
      <c r="P21" s="243"/>
    </row>
    <row r="22" spans="2:16" ht="12.5">
      <c r="B22" s="160" t="str">
        <f t="shared" si="6"/>
        <v/>
      </c>
      <c r="C22" s="473">
        <f>IF(D11="","-",+C21+1)</f>
        <v>2015</v>
      </c>
      <c r="D22" s="474">
        <v>21034.64423076923</v>
      </c>
      <c r="E22" s="481">
        <v>424.94230769230768</v>
      </c>
      <c r="F22" s="474">
        <v>20609.701923076922</v>
      </c>
      <c r="G22" s="481">
        <v>3265.9423076923076</v>
      </c>
      <c r="H22" s="482">
        <v>3265.9423076923076</v>
      </c>
      <c r="I22" s="476">
        <v>0</v>
      </c>
      <c r="J22" s="476"/>
      <c r="K22" s="477">
        <f t="shared" si="1"/>
        <v>3265.9423076923076</v>
      </c>
      <c r="L22" s="349">
        <f t="shared" si="7"/>
        <v>0</v>
      </c>
      <c r="M22" s="477">
        <f t="shared" si="3"/>
        <v>3265.9423076923076</v>
      </c>
      <c r="N22" s="476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2016</v>
      </c>
      <c r="D23" s="474">
        <v>20609.701923076922</v>
      </c>
      <c r="E23" s="481">
        <v>424.94230769230768</v>
      </c>
      <c r="F23" s="474">
        <v>20184.759615384613</v>
      </c>
      <c r="G23" s="481">
        <v>3071.9423076923076</v>
      </c>
      <c r="H23" s="482">
        <v>3071.9423076923076</v>
      </c>
      <c r="I23" s="476">
        <f t="shared" si="0"/>
        <v>0</v>
      </c>
      <c r="J23" s="476"/>
      <c r="K23" s="477">
        <f>G23</f>
        <v>3071.9423076923076</v>
      </c>
      <c r="L23" s="349">
        <f t="shared" si="7"/>
        <v>0</v>
      </c>
      <c r="M23" s="477">
        <f>H23</f>
        <v>3071.9423076923076</v>
      </c>
      <c r="N23" s="476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2017</v>
      </c>
      <c r="D24" s="474">
        <v>20184.759615384613</v>
      </c>
      <c r="E24" s="481">
        <v>480.36956521739131</v>
      </c>
      <c r="F24" s="474">
        <v>19704.390050167221</v>
      </c>
      <c r="G24" s="481">
        <v>2988.3695652173915</v>
      </c>
      <c r="H24" s="482">
        <v>2988.3695652173915</v>
      </c>
      <c r="I24" s="476">
        <f t="shared" si="0"/>
        <v>0</v>
      </c>
      <c r="J24" s="476"/>
      <c r="K24" s="477">
        <f>G24</f>
        <v>2988.3695652173915</v>
      </c>
      <c r="L24" s="349">
        <f t="shared" si="7"/>
        <v>0</v>
      </c>
      <c r="M24" s="477">
        <f>H24</f>
        <v>2988.3695652173915</v>
      </c>
      <c r="N24" s="476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2018</v>
      </c>
      <c r="D25" s="474">
        <v>19704.390050167221</v>
      </c>
      <c r="E25" s="481">
        <v>491.04444444444442</v>
      </c>
      <c r="F25" s="474">
        <v>19213.345605722778</v>
      </c>
      <c r="G25" s="481">
        <v>3091.0444444444443</v>
      </c>
      <c r="H25" s="482">
        <v>3091.0444444444443</v>
      </c>
      <c r="I25" s="476">
        <f t="shared" si="0"/>
        <v>0</v>
      </c>
      <c r="J25" s="476"/>
      <c r="K25" s="477">
        <f>G25</f>
        <v>3091.0444444444443</v>
      </c>
      <c r="L25" s="349">
        <f t="shared" si="7"/>
        <v>0</v>
      </c>
      <c r="M25" s="477">
        <f>H25</f>
        <v>3091.0444444444443</v>
      </c>
      <c r="N25" s="476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2019</v>
      </c>
      <c r="D26" s="474">
        <v>19213.345605722778</v>
      </c>
      <c r="E26" s="481">
        <v>491.04444444444442</v>
      </c>
      <c r="F26" s="474">
        <v>18722.301161278334</v>
      </c>
      <c r="G26" s="481">
        <v>3025.0444444444443</v>
      </c>
      <c r="H26" s="482">
        <v>3025.0444444444443</v>
      </c>
      <c r="I26" s="476">
        <f t="shared" si="0"/>
        <v>0</v>
      </c>
      <c r="J26" s="476"/>
      <c r="K26" s="477">
        <f>G26</f>
        <v>3025.0444444444443</v>
      </c>
      <c r="L26" s="349">
        <f t="shared" ref="L26" si="10">IF(K26&lt;&gt;0,+G26-K26,0)</f>
        <v>0</v>
      </c>
      <c r="M26" s="477">
        <f>H26</f>
        <v>3025.0444444444443</v>
      </c>
      <c r="N26" s="476">
        <f t="shared" ref="N26" si="11">IF(M26&lt;&gt;0,+H26-M26,0)</f>
        <v>0</v>
      </c>
      <c r="O26" s="479">
        <f t="shared" si="5"/>
        <v>0</v>
      </c>
      <c r="P26" s="243"/>
    </row>
    <row r="27" spans="2:16" ht="12.5">
      <c r="B27" s="160" t="str">
        <f t="shared" si="6"/>
        <v/>
      </c>
      <c r="C27" s="473">
        <f>IF(D11="","-",+C26+1)</f>
        <v>2020</v>
      </c>
      <c r="D27" s="474">
        <v>18722.301161278334</v>
      </c>
      <c r="E27" s="481">
        <v>526.11904761904759</v>
      </c>
      <c r="F27" s="474">
        <v>18196.182113659288</v>
      </c>
      <c r="G27" s="481">
        <v>2519.8053226007855</v>
      </c>
      <c r="H27" s="482">
        <v>2519.8053226007855</v>
      </c>
      <c r="I27" s="476">
        <f t="shared" si="0"/>
        <v>0</v>
      </c>
      <c r="J27" s="476"/>
      <c r="K27" s="477">
        <f>G27</f>
        <v>2519.8053226007855</v>
      </c>
      <c r="L27" s="349">
        <f t="shared" ref="L27" si="12">IF(K27&lt;&gt;0,+G27-K27,0)</f>
        <v>0</v>
      </c>
      <c r="M27" s="477">
        <f>H27</f>
        <v>2519.8053226007855</v>
      </c>
      <c r="N27" s="479">
        <f t="shared" si="4"/>
        <v>0</v>
      </c>
      <c r="O27" s="479">
        <f t="shared" si="5"/>
        <v>0</v>
      </c>
      <c r="P27" s="243"/>
    </row>
    <row r="28" spans="2:16" ht="12.5">
      <c r="B28" s="160" t="str">
        <f t="shared" si="6"/>
        <v/>
      </c>
      <c r="C28" s="473">
        <f>IF(D11="","-",+C27+1)</f>
        <v>2021</v>
      </c>
      <c r="D28" s="486">
        <f>IF(F27+SUM(E$17:E27)=D$10,F27,D$10-SUM(E$17:E27))</f>
        <v>18196.182113659288</v>
      </c>
      <c r="E28" s="485">
        <f>IF(+I14&lt;F27,I14,D28)</f>
        <v>513.88372093023258</v>
      </c>
      <c r="F28" s="486">
        <f t="shared" ref="F28:F48" si="13">+D28-E28</f>
        <v>17682.298392729055</v>
      </c>
      <c r="G28" s="487">
        <f t="shared" ref="G28:G72" si="14">(D28+F28)/2*I$12+E28</f>
        <v>2577.9069617543601</v>
      </c>
      <c r="H28" s="456">
        <f t="shared" ref="H28:H72" si="15">+(D28+F28)/2*I$13+E28</f>
        <v>2577.9069617543601</v>
      </c>
      <c r="I28" s="476">
        <f t="shared" si="0"/>
        <v>0</v>
      </c>
      <c r="J28" s="476"/>
      <c r="K28" s="488"/>
      <c r="L28" s="479">
        <f t="shared" si="2"/>
        <v>0</v>
      </c>
      <c r="M28" s="488"/>
      <c r="N28" s="479">
        <f t="shared" si="4"/>
        <v>0</v>
      </c>
      <c r="O28" s="479">
        <f t="shared" si="5"/>
        <v>0</v>
      </c>
      <c r="P28" s="243"/>
    </row>
    <row r="29" spans="2:16" ht="12.5">
      <c r="B29" s="160" t="str">
        <f t="shared" si="6"/>
        <v/>
      </c>
      <c r="C29" s="473">
        <f>IF(D11="","-",+C28+1)</f>
        <v>2022</v>
      </c>
      <c r="D29" s="486">
        <f>IF(F28+SUM(E$17:E28)=D$10,F28,D$10-SUM(E$17:E28))</f>
        <v>17682.298392729055</v>
      </c>
      <c r="E29" s="485">
        <f>IF(+I14&lt;F28,I14,D29)</f>
        <v>513.88372093023258</v>
      </c>
      <c r="F29" s="486">
        <f t="shared" si="13"/>
        <v>17168.414671798822</v>
      </c>
      <c r="G29" s="487">
        <f t="shared" si="14"/>
        <v>2518.7813840759904</v>
      </c>
      <c r="H29" s="456">
        <f t="shared" si="15"/>
        <v>2518.7813840759904</v>
      </c>
      <c r="I29" s="476">
        <f t="shared" si="0"/>
        <v>0</v>
      </c>
      <c r="J29" s="476"/>
      <c r="K29" s="488"/>
      <c r="L29" s="479">
        <f t="shared" si="2"/>
        <v>0</v>
      </c>
      <c r="M29" s="488"/>
      <c r="N29" s="479">
        <f t="shared" si="4"/>
        <v>0</v>
      </c>
      <c r="O29" s="479">
        <f t="shared" si="5"/>
        <v>0</v>
      </c>
      <c r="P29" s="243"/>
    </row>
    <row r="30" spans="2:16" ht="12.5">
      <c r="B30" s="160" t="str">
        <f t="shared" si="6"/>
        <v/>
      </c>
      <c r="C30" s="473">
        <f>IF(D11="","-",+C29+1)</f>
        <v>2023</v>
      </c>
      <c r="D30" s="486">
        <f>IF(F29+SUM(E$17:E29)=D$10,F29,D$10-SUM(E$17:E29))</f>
        <v>17168.414671798822</v>
      </c>
      <c r="E30" s="485">
        <f>IF(+I14&lt;F29,I14,D30)</f>
        <v>513.88372093023258</v>
      </c>
      <c r="F30" s="486">
        <f t="shared" si="13"/>
        <v>16654.53095086859</v>
      </c>
      <c r="G30" s="487">
        <f t="shared" si="14"/>
        <v>2459.6558063976199</v>
      </c>
      <c r="H30" s="456">
        <f t="shared" si="15"/>
        <v>2459.6558063976199</v>
      </c>
      <c r="I30" s="476">
        <f t="shared" si="0"/>
        <v>0</v>
      </c>
      <c r="J30" s="476"/>
      <c r="K30" s="488"/>
      <c r="L30" s="479">
        <f t="shared" si="2"/>
        <v>0</v>
      </c>
      <c r="M30" s="488"/>
      <c r="N30" s="479">
        <f t="shared" si="4"/>
        <v>0</v>
      </c>
      <c r="O30" s="479">
        <f t="shared" si="5"/>
        <v>0</v>
      </c>
      <c r="P30" s="243"/>
    </row>
    <row r="31" spans="2:16" ht="12.5">
      <c r="B31" s="160" t="str">
        <f t="shared" si="6"/>
        <v/>
      </c>
      <c r="C31" s="473">
        <f>IF(D11="","-",+C30+1)</f>
        <v>2024</v>
      </c>
      <c r="D31" s="486">
        <f>IF(F30+SUM(E$17:E30)=D$10,F30,D$10-SUM(E$17:E30))</f>
        <v>16654.53095086859</v>
      </c>
      <c r="E31" s="485">
        <f>IF(+I14&lt;F30,I14,D31)</f>
        <v>513.88372093023258</v>
      </c>
      <c r="F31" s="486">
        <f t="shared" si="13"/>
        <v>16140.647229938357</v>
      </c>
      <c r="G31" s="487">
        <f t="shared" si="14"/>
        <v>2400.5302287192499</v>
      </c>
      <c r="H31" s="456">
        <f t="shared" si="15"/>
        <v>2400.5302287192499</v>
      </c>
      <c r="I31" s="476">
        <f t="shared" si="0"/>
        <v>0</v>
      </c>
      <c r="J31" s="476"/>
      <c r="K31" s="488"/>
      <c r="L31" s="479">
        <f t="shared" si="2"/>
        <v>0</v>
      </c>
      <c r="M31" s="488"/>
      <c r="N31" s="479">
        <f t="shared" si="4"/>
        <v>0</v>
      </c>
      <c r="O31" s="479">
        <f t="shared" si="5"/>
        <v>0</v>
      </c>
      <c r="P31" s="243"/>
    </row>
    <row r="32" spans="2:16" ht="12.5">
      <c r="B32" s="160" t="str">
        <f t="shared" si="6"/>
        <v/>
      </c>
      <c r="C32" s="473">
        <f>IF(D11="","-",+C31+1)</f>
        <v>2025</v>
      </c>
      <c r="D32" s="486">
        <f>IF(F31+SUM(E$17:E31)=D$10,F31,D$10-SUM(E$17:E31))</f>
        <v>16140.647229938357</v>
      </c>
      <c r="E32" s="485">
        <f>IF(+I14&lt;F31,I14,D32)</f>
        <v>513.88372093023258</v>
      </c>
      <c r="F32" s="486">
        <f t="shared" si="13"/>
        <v>15626.763509008124</v>
      </c>
      <c r="G32" s="487">
        <f t="shared" si="14"/>
        <v>2341.4046510408789</v>
      </c>
      <c r="H32" s="456">
        <f t="shared" si="15"/>
        <v>2341.4046510408789</v>
      </c>
      <c r="I32" s="476">
        <f t="shared" si="0"/>
        <v>0</v>
      </c>
      <c r="J32" s="476"/>
      <c r="K32" s="488"/>
      <c r="L32" s="479">
        <f t="shared" si="2"/>
        <v>0</v>
      </c>
      <c r="M32" s="488"/>
      <c r="N32" s="479">
        <f t="shared" si="4"/>
        <v>0</v>
      </c>
      <c r="O32" s="479">
        <f t="shared" si="5"/>
        <v>0</v>
      </c>
      <c r="P32" s="243"/>
    </row>
    <row r="33" spans="2:16" ht="12.5">
      <c r="B33" s="160" t="str">
        <f t="shared" si="6"/>
        <v/>
      </c>
      <c r="C33" s="473">
        <f>IF(D11="","-",+C32+1)</f>
        <v>2026</v>
      </c>
      <c r="D33" s="486">
        <f>IF(F32+SUM(E$17:E32)=D$10,F32,D$10-SUM(E$17:E32))</f>
        <v>15626.763509008124</v>
      </c>
      <c r="E33" s="485">
        <f>IF(+I14&lt;F32,I14,D33)</f>
        <v>513.88372093023258</v>
      </c>
      <c r="F33" s="486">
        <f t="shared" si="13"/>
        <v>15112.879788077891</v>
      </c>
      <c r="G33" s="487">
        <f t="shared" si="14"/>
        <v>2282.2790733625088</v>
      </c>
      <c r="H33" s="456">
        <f t="shared" si="15"/>
        <v>2282.2790733625088</v>
      </c>
      <c r="I33" s="476">
        <f t="shared" si="0"/>
        <v>0</v>
      </c>
      <c r="J33" s="476"/>
      <c r="K33" s="488"/>
      <c r="L33" s="479">
        <f t="shared" si="2"/>
        <v>0</v>
      </c>
      <c r="M33" s="488"/>
      <c r="N33" s="479">
        <f t="shared" si="4"/>
        <v>0</v>
      </c>
      <c r="O33" s="479">
        <f t="shared" si="5"/>
        <v>0</v>
      </c>
      <c r="P33" s="243"/>
    </row>
    <row r="34" spans="2:16" ht="12.5">
      <c r="B34" s="160" t="str">
        <f t="shared" si="6"/>
        <v/>
      </c>
      <c r="C34" s="473">
        <f>IF(D11="","-",+C33+1)</f>
        <v>2027</v>
      </c>
      <c r="D34" s="486">
        <f>IF(F33+SUM(E$17:E33)=D$10,F33,D$10-SUM(E$17:E33))</f>
        <v>15112.879788077891</v>
      </c>
      <c r="E34" s="485">
        <f>IF(+I14&lt;F33,I14,D34)</f>
        <v>513.88372093023258</v>
      </c>
      <c r="F34" s="486">
        <f t="shared" si="13"/>
        <v>14598.996067147658</v>
      </c>
      <c r="G34" s="487">
        <f t="shared" si="14"/>
        <v>2223.1534956841383</v>
      </c>
      <c r="H34" s="456">
        <f t="shared" si="15"/>
        <v>2223.1534956841383</v>
      </c>
      <c r="I34" s="476">
        <f t="shared" si="0"/>
        <v>0</v>
      </c>
      <c r="J34" s="476"/>
      <c r="K34" s="488"/>
      <c r="L34" s="479">
        <f t="shared" si="2"/>
        <v>0</v>
      </c>
      <c r="M34" s="488"/>
      <c r="N34" s="479">
        <f t="shared" si="4"/>
        <v>0</v>
      </c>
      <c r="O34" s="479">
        <f t="shared" si="5"/>
        <v>0</v>
      </c>
      <c r="P34" s="243"/>
    </row>
    <row r="35" spans="2:16" ht="12.5">
      <c r="B35" s="160" t="str">
        <f t="shared" si="6"/>
        <v/>
      </c>
      <c r="C35" s="473">
        <f>IF(D11="","-",+C34+1)</f>
        <v>2028</v>
      </c>
      <c r="D35" s="486">
        <f>IF(F34+SUM(E$17:E34)=D$10,F34,D$10-SUM(E$17:E34))</f>
        <v>14598.996067147658</v>
      </c>
      <c r="E35" s="485">
        <f>IF(+I14&lt;F34,I14,D35)</f>
        <v>513.88372093023258</v>
      </c>
      <c r="F35" s="486">
        <f t="shared" si="13"/>
        <v>14085.112346217426</v>
      </c>
      <c r="G35" s="487">
        <f t="shared" si="14"/>
        <v>2164.0279180057678</v>
      </c>
      <c r="H35" s="456">
        <f t="shared" si="15"/>
        <v>2164.0279180057678</v>
      </c>
      <c r="I35" s="476">
        <f t="shared" si="0"/>
        <v>0</v>
      </c>
      <c r="J35" s="476"/>
      <c r="K35" s="488"/>
      <c r="L35" s="479">
        <f t="shared" si="2"/>
        <v>0</v>
      </c>
      <c r="M35" s="488"/>
      <c r="N35" s="479">
        <f t="shared" si="4"/>
        <v>0</v>
      </c>
      <c r="O35" s="479">
        <f t="shared" si="5"/>
        <v>0</v>
      </c>
      <c r="P35" s="243"/>
    </row>
    <row r="36" spans="2:16" ht="12.5">
      <c r="B36" s="160" t="str">
        <f t="shared" si="6"/>
        <v/>
      </c>
      <c r="C36" s="473">
        <f>IF(D11="","-",+C35+1)</f>
        <v>2029</v>
      </c>
      <c r="D36" s="486">
        <f>IF(F35+SUM(E$17:E35)=D$10,F35,D$10-SUM(E$17:E35))</f>
        <v>14085.112346217426</v>
      </c>
      <c r="E36" s="485">
        <f>IF(+I14&lt;F35,I14,D36)</f>
        <v>513.88372093023258</v>
      </c>
      <c r="F36" s="486">
        <f t="shared" si="13"/>
        <v>13571.228625287193</v>
      </c>
      <c r="G36" s="487">
        <f t="shared" si="14"/>
        <v>2104.9023403273977</v>
      </c>
      <c r="H36" s="456">
        <f t="shared" si="15"/>
        <v>2104.9023403273977</v>
      </c>
      <c r="I36" s="476">
        <f t="shared" si="0"/>
        <v>0</v>
      </c>
      <c r="J36" s="476"/>
      <c r="K36" s="488"/>
      <c r="L36" s="479">
        <f t="shared" si="2"/>
        <v>0</v>
      </c>
      <c r="M36" s="488"/>
      <c r="N36" s="479">
        <f t="shared" si="4"/>
        <v>0</v>
      </c>
      <c r="O36" s="479">
        <f t="shared" si="5"/>
        <v>0</v>
      </c>
      <c r="P36" s="243"/>
    </row>
    <row r="37" spans="2:16" ht="12.5">
      <c r="B37" s="160" t="str">
        <f t="shared" si="6"/>
        <v/>
      </c>
      <c r="C37" s="473">
        <f>IF(D11="","-",+C36+1)</f>
        <v>2030</v>
      </c>
      <c r="D37" s="486">
        <f>IF(F36+SUM(E$17:E36)=D$10,F36,D$10-SUM(E$17:E36))</f>
        <v>13571.228625287193</v>
      </c>
      <c r="E37" s="485">
        <f>IF(+I14&lt;F36,I14,D37)</f>
        <v>513.88372093023258</v>
      </c>
      <c r="F37" s="486">
        <f t="shared" si="13"/>
        <v>13057.34490435696</v>
      </c>
      <c r="G37" s="487">
        <f t="shared" si="14"/>
        <v>2045.7767626490272</v>
      </c>
      <c r="H37" s="456">
        <f t="shared" si="15"/>
        <v>2045.7767626490272</v>
      </c>
      <c r="I37" s="476">
        <f t="shared" si="0"/>
        <v>0</v>
      </c>
      <c r="J37" s="476"/>
      <c r="K37" s="488"/>
      <c r="L37" s="479">
        <f t="shared" si="2"/>
        <v>0</v>
      </c>
      <c r="M37" s="488"/>
      <c r="N37" s="479">
        <f t="shared" si="4"/>
        <v>0</v>
      </c>
      <c r="O37" s="479">
        <f t="shared" si="5"/>
        <v>0</v>
      </c>
      <c r="P37" s="243"/>
    </row>
    <row r="38" spans="2:16" ht="12.5">
      <c r="B38" s="160" t="str">
        <f t="shared" si="6"/>
        <v/>
      </c>
      <c r="C38" s="473">
        <f>IF(D11="","-",+C37+1)</f>
        <v>2031</v>
      </c>
      <c r="D38" s="486">
        <f>IF(F37+SUM(E$17:E37)=D$10,F37,D$10-SUM(E$17:E37))</f>
        <v>13057.34490435696</v>
      </c>
      <c r="E38" s="485">
        <f>IF(+I14&lt;F37,I14,D38)</f>
        <v>513.88372093023258</v>
      </c>
      <c r="F38" s="486">
        <f t="shared" si="13"/>
        <v>12543.461183426727</v>
      </c>
      <c r="G38" s="487">
        <f t="shared" si="14"/>
        <v>1986.6511849706567</v>
      </c>
      <c r="H38" s="456">
        <f t="shared" si="15"/>
        <v>1986.6511849706567</v>
      </c>
      <c r="I38" s="476">
        <f t="shared" si="0"/>
        <v>0</v>
      </c>
      <c r="J38" s="476"/>
      <c r="K38" s="488"/>
      <c r="L38" s="479">
        <f t="shared" si="2"/>
        <v>0</v>
      </c>
      <c r="M38" s="488"/>
      <c r="N38" s="479">
        <f t="shared" si="4"/>
        <v>0</v>
      </c>
      <c r="O38" s="479">
        <f t="shared" si="5"/>
        <v>0</v>
      </c>
      <c r="P38" s="243"/>
    </row>
    <row r="39" spans="2:16" ht="12.5">
      <c r="B39" s="160" t="str">
        <f t="shared" si="6"/>
        <v/>
      </c>
      <c r="C39" s="473">
        <f>IF(D11="","-",+C38+1)</f>
        <v>2032</v>
      </c>
      <c r="D39" s="486">
        <f>IF(F38+SUM(E$17:E38)=D$10,F38,D$10-SUM(E$17:E38))</f>
        <v>12543.461183426727</v>
      </c>
      <c r="E39" s="485">
        <f>IF(+I14&lt;F38,I14,D39)</f>
        <v>513.88372093023258</v>
      </c>
      <c r="F39" s="486">
        <f t="shared" si="13"/>
        <v>12029.577462496494</v>
      </c>
      <c r="G39" s="487">
        <f t="shared" si="14"/>
        <v>1927.5256072922864</v>
      </c>
      <c r="H39" s="456">
        <f t="shared" si="15"/>
        <v>1927.5256072922864</v>
      </c>
      <c r="I39" s="476">
        <f t="shared" si="0"/>
        <v>0</v>
      </c>
      <c r="J39" s="476"/>
      <c r="K39" s="488"/>
      <c r="L39" s="479">
        <f t="shared" si="2"/>
        <v>0</v>
      </c>
      <c r="M39" s="488"/>
      <c r="N39" s="479">
        <f t="shared" si="4"/>
        <v>0</v>
      </c>
      <c r="O39" s="479">
        <f t="shared" si="5"/>
        <v>0</v>
      </c>
      <c r="P39" s="243"/>
    </row>
    <row r="40" spans="2:16" ht="12.5">
      <c r="B40" s="160" t="str">
        <f t="shared" si="6"/>
        <v/>
      </c>
      <c r="C40" s="473">
        <f>IF(D11="","-",+C39+1)</f>
        <v>2033</v>
      </c>
      <c r="D40" s="486">
        <f>IF(F39+SUM(E$17:E39)=D$10,F39,D$10-SUM(E$17:E39))</f>
        <v>12029.577462496494</v>
      </c>
      <c r="E40" s="485">
        <f>IF(+I14&lt;F39,I14,D40)</f>
        <v>513.88372093023258</v>
      </c>
      <c r="F40" s="486">
        <f t="shared" si="13"/>
        <v>11515.693741566261</v>
      </c>
      <c r="G40" s="487">
        <f t="shared" si="14"/>
        <v>1868.4000296139159</v>
      </c>
      <c r="H40" s="456">
        <f t="shared" si="15"/>
        <v>1868.4000296139159</v>
      </c>
      <c r="I40" s="476">
        <f t="shared" si="0"/>
        <v>0</v>
      </c>
      <c r="J40" s="476"/>
      <c r="K40" s="488"/>
      <c r="L40" s="479">
        <f t="shared" si="2"/>
        <v>0</v>
      </c>
      <c r="M40" s="488"/>
      <c r="N40" s="479">
        <f t="shared" si="4"/>
        <v>0</v>
      </c>
      <c r="O40" s="479">
        <f t="shared" si="5"/>
        <v>0</v>
      </c>
      <c r="P40" s="243"/>
    </row>
    <row r="41" spans="2:16" ht="12.5">
      <c r="B41" s="160" t="str">
        <f t="shared" si="6"/>
        <v/>
      </c>
      <c r="C41" s="473">
        <f>IF(D11="","-",+C40+1)</f>
        <v>2034</v>
      </c>
      <c r="D41" s="486">
        <f>IF(F40+SUM(E$17:E40)=D$10,F40,D$10-SUM(E$17:E40))</f>
        <v>11515.693741566261</v>
      </c>
      <c r="E41" s="485">
        <f>IF(+I14&lt;F40,I14,D41)</f>
        <v>513.88372093023258</v>
      </c>
      <c r="F41" s="486">
        <f t="shared" si="13"/>
        <v>11001.810020636029</v>
      </c>
      <c r="G41" s="487">
        <f t="shared" si="14"/>
        <v>1809.2744519355456</v>
      </c>
      <c r="H41" s="456">
        <f t="shared" si="15"/>
        <v>1809.2744519355456</v>
      </c>
      <c r="I41" s="476">
        <f t="shared" si="0"/>
        <v>0</v>
      </c>
      <c r="J41" s="476"/>
      <c r="K41" s="488"/>
      <c r="L41" s="479">
        <f t="shared" si="2"/>
        <v>0</v>
      </c>
      <c r="M41" s="488"/>
      <c r="N41" s="479">
        <f t="shared" si="4"/>
        <v>0</v>
      </c>
      <c r="O41" s="479">
        <f t="shared" si="5"/>
        <v>0</v>
      </c>
      <c r="P41" s="243"/>
    </row>
    <row r="42" spans="2:16" ht="12.5">
      <c r="B42" s="160" t="str">
        <f t="shared" si="6"/>
        <v/>
      </c>
      <c r="C42" s="473">
        <f>IF(D11="","-",+C41+1)</f>
        <v>2035</v>
      </c>
      <c r="D42" s="486">
        <f>IF(F41+SUM(E$17:E41)=D$10,F41,D$10-SUM(E$17:E41))</f>
        <v>11001.810020636029</v>
      </c>
      <c r="E42" s="485">
        <f>IF(+I14&lt;F41,I14,D42)</f>
        <v>513.88372093023258</v>
      </c>
      <c r="F42" s="486">
        <f t="shared" si="13"/>
        <v>10487.926299705796</v>
      </c>
      <c r="G42" s="487">
        <f t="shared" si="14"/>
        <v>1750.1488742571751</v>
      </c>
      <c r="H42" s="456">
        <f t="shared" si="15"/>
        <v>1750.1488742571751</v>
      </c>
      <c r="I42" s="476">
        <f t="shared" si="0"/>
        <v>0</v>
      </c>
      <c r="J42" s="476"/>
      <c r="K42" s="488"/>
      <c r="L42" s="479">
        <f t="shared" si="2"/>
        <v>0</v>
      </c>
      <c r="M42" s="488"/>
      <c r="N42" s="479">
        <f t="shared" si="4"/>
        <v>0</v>
      </c>
      <c r="O42" s="479">
        <f t="shared" si="5"/>
        <v>0</v>
      </c>
      <c r="P42" s="243"/>
    </row>
    <row r="43" spans="2:16" ht="12.5">
      <c r="B43" s="160" t="str">
        <f t="shared" si="6"/>
        <v/>
      </c>
      <c r="C43" s="473">
        <f>IF(D11="","-",+C42+1)</f>
        <v>2036</v>
      </c>
      <c r="D43" s="486">
        <f>IF(F42+SUM(E$17:E42)=D$10,F42,D$10-SUM(E$17:E42))</f>
        <v>10487.926299705796</v>
      </c>
      <c r="E43" s="485">
        <f>IF(+I14&lt;F42,I14,D43)</f>
        <v>513.88372093023258</v>
      </c>
      <c r="F43" s="486">
        <f t="shared" si="13"/>
        <v>9974.042578775563</v>
      </c>
      <c r="G43" s="487">
        <f t="shared" si="14"/>
        <v>1691.0232965788048</v>
      </c>
      <c r="H43" s="456">
        <f t="shared" si="15"/>
        <v>1691.0232965788048</v>
      </c>
      <c r="I43" s="476">
        <f t="shared" si="0"/>
        <v>0</v>
      </c>
      <c r="J43" s="476"/>
      <c r="K43" s="488"/>
      <c r="L43" s="479">
        <f t="shared" si="2"/>
        <v>0</v>
      </c>
      <c r="M43" s="488"/>
      <c r="N43" s="479">
        <f t="shared" si="4"/>
        <v>0</v>
      </c>
      <c r="O43" s="479">
        <f t="shared" si="5"/>
        <v>0</v>
      </c>
      <c r="P43" s="243"/>
    </row>
    <row r="44" spans="2:16" ht="12.5">
      <c r="B44" s="160" t="str">
        <f t="shared" si="6"/>
        <v/>
      </c>
      <c r="C44" s="473">
        <f>IF(D11="","-",+C43+1)</f>
        <v>2037</v>
      </c>
      <c r="D44" s="486">
        <f>IF(F43+SUM(E$17:E43)=D$10,F43,D$10-SUM(E$17:E43))</f>
        <v>9974.042578775563</v>
      </c>
      <c r="E44" s="485">
        <f>IF(+I14&lt;F43,I14,D44)</f>
        <v>513.88372093023258</v>
      </c>
      <c r="F44" s="486">
        <f t="shared" si="13"/>
        <v>9460.1588578453302</v>
      </c>
      <c r="G44" s="487">
        <f t="shared" si="14"/>
        <v>1631.8977189004343</v>
      </c>
      <c r="H44" s="456">
        <f t="shared" si="15"/>
        <v>1631.8977189004343</v>
      </c>
      <c r="I44" s="476">
        <f t="shared" si="0"/>
        <v>0</v>
      </c>
      <c r="J44" s="476"/>
      <c r="K44" s="488"/>
      <c r="L44" s="479">
        <f t="shared" si="2"/>
        <v>0</v>
      </c>
      <c r="M44" s="488"/>
      <c r="N44" s="479">
        <f t="shared" si="4"/>
        <v>0</v>
      </c>
      <c r="O44" s="479">
        <f t="shared" si="5"/>
        <v>0</v>
      </c>
      <c r="P44" s="243"/>
    </row>
    <row r="45" spans="2:16" ht="12.5">
      <c r="B45" s="160" t="str">
        <f t="shared" si="6"/>
        <v/>
      </c>
      <c r="C45" s="473">
        <f>IF(D11="","-",+C44+1)</f>
        <v>2038</v>
      </c>
      <c r="D45" s="486">
        <f>IF(F44+SUM(E$17:E44)=D$10,F44,D$10-SUM(E$17:E44))</f>
        <v>9460.1588578453302</v>
      </c>
      <c r="E45" s="485">
        <f>IF(+I14&lt;F44,I14,D45)</f>
        <v>513.88372093023258</v>
      </c>
      <c r="F45" s="486">
        <f t="shared" si="13"/>
        <v>8946.2751369150974</v>
      </c>
      <c r="G45" s="487">
        <f t="shared" si="14"/>
        <v>1572.772141222064</v>
      </c>
      <c r="H45" s="456">
        <f t="shared" si="15"/>
        <v>1572.772141222064</v>
      </c>
      <c r="I45" s="476">
        <f t="shared" si="0"/>
        <v>0</v>
      </c>
      <c r="J45" s="476"/>
      <c r="K45" s="488"/>
      <c r="L45" s="479">
        <f t="shared" si="2"/>
        <v>0</v>
      </c>
      <c r="M45" s="488"/>
      <c r="N45" s="479">
        <f t="shared" si="4"/>
        <v>0</v>
      </c>
      <c r="O45" s="479">
        <f t="shared" si="5"/>
        <v>0</v>
      </c>
      <c r="P45" s="243"/>
    </row>
    <row r="46" spans="2:16" ht="12.5">
      <c r="B46" s="160" t="str">
        <f t="shared" si="6"/>
        <v/>
      </c>
      <c r="C46" s="473">
        <f>IF(D11="","-",+C45+1)</f>
        <v>2039</v>
      </c>
      <c r="D46" s="486">
        <f>IF(F45+SUM(E$17:E45)=D$10,F45,D$10-SUM(E$17:E45))</f>
        <v>8946.2751369150974</v>
      </c>
      <c r="E46" s="485">
        <f>IF(+I14&lt;F45,I14,D46)</f>
        <v>513.88372093023258</v>
      </c>
      <c r="F46" s="486">
        <f t="shared" si="13"/>
        <v>8432.3914159848646</v>
      </c>
      <c r="G46" s="487">
        <f t="shared" si="14"/>
        <v>1513.6465635436934</v>
      </c>
      <c r="H46" s="456">
        <f t="shared" si="15"/>
        <v>1513.6465635436934</v>
      </c>
      <c r="I46" s="476">
        <f t="shared" si="0"/>
        <v>0</v>
      </c>
      <c r="J46" s="476"/>
      <c r="K46" s="488"/>
      <c r="L46" s="479">
        <f t="shared" si="2"/>
        <v>0</v>
      </c>
      <c r="M46" s="488"/>
      <c r="N46" s="479">
        <f t="shared" si="4"/>
        <v>0</v>
      </c>
      <c r="O46" s="479">
        <f t="shared" si="5"/>
        <v>0</v>
      </c>
      <c r="P46" s="243"/>
    </row>
    <row r="47" spans="2:16" ht="12.5">
      <c r="B47" s="160" t="str">
        <f t="shared" si="6"/>
        <v/>
      </c>
      <c r="C47" s="473">
        <f>IF(D11="","-",+C46+1)</f>
        <v>2040</v>
      </c>
      <c r="D47" s="486">
        <f>IF(F46+SUM(E$17:E46)=D$10,F46,D$10-SUM(E$17:E46))</f>
        <v>8432.3914159848646</v>
      </c>
      <c r="E47" s="485">
        <f>IF(+I14&lt;F46,I14,D47)</f>
        <v>513.88372093023258</v>
      </c>
      <c r="F47" s="486">
        <f t="shared" si="13"/>
        <v>7918.5076950546318</v>
      </c>
      <c r="G47" s="487">
        <f t="shared" si="14"/>
        <v>1454.5209858653232</v>
      </c>
      <c r="H47" s="456">
        <f t="shared" si="15"/>
        <v>1454.5209858653232</v>
      </c>
      <c r="I47" s="476">
        <f t="shared" si="0"/>
        <v>0</v>
      </c>
      <c r="J47" s="476"/>
      <c r="K47" s="488"/>
      <c r="L47" s="479">
        <f t="shared" si="2"/>
        <v>0</v>
      </c>
      <c r="M47" s="488"/>
      <c r="N47" s="479">
        <f t="shared" si="4"/>
        <v>0</v>
      </c>
      <c r="O47" s="479">
        <f t="shared" si="5"/>
        <v>0</v>
      </c>
      <c r="P47" s="243"/>
    </row>
    <row r="48" spans="2:16" ht="12.5">
      <c r="B48" s="160" t="str">
        <f t="shared" si="6"/>
        <v/>
      </c>
      <c r="C48" s="473">
        <f>IF(D11="","-",+C47+1)</f>
        <v>2041</v>
      </c>
      <c r="D48" s="486">
        <f>IF(F47+SUM(E$17:E47)=D$10,F47,D$10-SUM(E$17:E47))</f>
        <v>7918.5076950546318</v>
      </c>
      <c r="E48" s="485">
        <f>IF(+I14&lt;F47,I14,D48)</f>
        <v>513.88372093023258</v>
      </c>
      <c r="F48" s="486">
        <f t="shared" si="13"/>
        <v>7404.623974124399</v>
      </c>
      <c r="G48" s="487">
        <f t="shared" si="14"/>
        <v>1395.3954081869529</v>
      </c>
      <c r="H48" s="456">
        <f t="shared" si="15"/>
        <v>1395.3954081869529</v>
      </c>
      <c r="I48" s="476">
        <f t="shared" si="0"/>
        <v>0</v>
      </c>
      <c r="J48" s="476"/>
      <c r="K48" s="488"/>
      <c r="L48" s="479">
        <f t="shared" si="2"/>
        <v>0</v>
      </c>
      <c r="M48" s="488"/>
      <c r="N48" s="479">
        <f t="shared" si="4"/>
        <v>0</v>
      </c>
      <c r="O48" s="479">
        <f t="shared" si="5"/>
        <v>0</v>
      </c>
      <c r="P48" s="243"/>
    </row>
    <row r="49" spans="2:16" ht="12.5">
      <c r="B49" s="160" t="str">
        <f t="shared" si="6"/>
        <v/>
      </c>
      <c r="C49" s="473">
        <f>IF(D11="","-",+C48+1)</f>
        <v>2042</v>
      </c>
      <c r="D49" s="486">
        <f>IF(F48+SUM(E$17:E48)=D$10,F48,D$10-SUM(E$17:E48))</f>
        <v>7404.623974124399</v>
      </c>
      <c r="E49" s="485">
        <f>IF(+I14&lt;F48,I14,D49)</f>
        <v>513.88372093023258</v>
      </c>
      <c r="F49" s="486">
        <f t="shared" ref="F49:F72" si="16">+D49-E49</f>
        <v>6890.7402531941661</v>
      </c>
      <c r="G49" s="487">
        <f t="shared" si="14"/>
        <v>1336.2698305085823</v>
      </c>
      <c r="H49" s="456">
        <f t="shared" si="15"/>
        <v>1336.2698305085823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ref="B50:B72" si="21">IF(D50=F49,"","IU")</f>
        <v/>
      </c>
      <c r="C50" s="473">
        <f>IF(D11="","-",+C49+1)</f>
        <v>2043</v>
      </c>
      <c r="D50" s="486">
        <f>IF(F49+SUM(E$17:E49)=D$10,F49,D$10-SUM(E$17:E49))</f>
        <v>6890.7402531941661</v>
      </c>
      <c r="E50" s="485">
        <f>IF(+I14&lt;F49,I14,D50)</f>
        <v>513.88372093023258</v>
      </c>
      <c r="F50" s="486">
        <f t="shared" si="16"/>
        <v>6376.8565322639333</v>
      </c>
      <c r="G50" s="487">
        <f t="shared" si="14"/>
        <v>1277.1442528302121</v>
      </c>
      <c r="H50" s="456">
        <f t="shared" si="15"/>
        <v>1277.1442528302121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21"/>
        <v/>
      </c>
      <c r="C51" s="473">
        <f>IF(D11="","-",+C50+1)</f>
        <v>2044</v>
      </c>
      <c r="D51" s="486">
        <f>IF(F50+SUM(E$17:E50)=D$10,F50,D$10-SUM(E$17:E50))</f>
        <v>6376.8565322639333</v>
      </c>
      <c r="E51" s="485">
        <f>IF(+I14&lt;F50,I14,D51)</f>
        <v>513.88372093023258</v>
      </c>
      <c r="F51" s="486">
        <f t="shared" si="16"/>
        <v>5862.9728113337005</v>
      </c>
      <c r="G51" s="487">
        <f t="shared" si="14"/>
        <v>1218.0186751518418</v>
      </c>
      <c r="H51" s="456">
        <f t="shared" si="15"/>
        <v>1218.0186751518418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21"/>
        <v/>
      </c>
      <c r="C52" s="473">
        <f>IF(D11="","-",+C51+1)</f>
        <v>2045</v>
      </c>
      <c r="D52" s="486">
        <f>IF(F51+SUM(E$17:E51)=D$10,F51,D$10-SUM(E$17:E51))</f>
        <v>5862.9728113337005</v>
      </c>
      <c r="E52" s="485">
        <f>IF(+I14&lt;F51,I14,D52)</f>
        <v>513.88372093023258</v>
      </c>
      <c r="F52" s="486">
        <f t="shared" si="16"/>
        <v>5349.0890904034677</v>
      </c>
      <c r="G52" s="487">
        <f t="shared" si="14"/>
        <v>1158.8930974734712</v>
      </c>
      <c r="H52" s="456">
        <f t="shared" si="15"/>
        <v>1158.8930974734712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21"/>
        <v/>
      </c>
      <c r="C53" s="473">
        <f>IF(D11="","-",+C52+1)</f>
        <v>2046</v>
      </c>
      <c r="D53" s="486">
        <f>IF(F52+SUM(E$17:E52)=D$10,F52,D$10-SUM(E$17:E52))</f>
        <v>5349.0890904034677</v>
      </c>
      <c r="E53" s="485">
        <f>IF(+I14&lt;F52,I14,D53)</f>
        <v>513.88372093023258</v>
      </c>
      <c r="F53" s="486">
        <f t="shared" si="16"/>
        <v>4835.2053694732349</v>
      </c>
      <c r="G53" s="487">
        <f t="shared" si="14"/>
        <v>1099.7675197951007</v>
      </c>
      <c r="H53" s="456">
        <f t="shared" si="15"/>
        <v>1099.7675197951007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21"/>
        <v/>
      </c>
      <c r="C54" s="473">
        <f>IF(D11="","-",+C53+1)</f>
        <v>2047</v>
      </c>
      <c r="D54" s="486">
        <f>IF(F53+SUM(E$17:E53)=D$10,F53,D$10-SUM(E$17:E53))</f>
        <v>4835.2053694732349</v>
      </c>
      <c r="E54" s="485">
        <f>IF(+I14&lt;F53,I14,D54)</f>
        <v>513.88372093023258</v>
      </c>
      <c r="F54" s="486">
        <f t="shared" si="16"/>
        <v>4321.3216485430021</v>
      </c>
      <c r="G54" s="487">
        <f t="shared" si="14"/>
        <v>1040.6419421167304</v>
      </c>
      <c r="H54" s="456">
        <f t="shared" si="15"/>
        <v>1040.6419421167304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21"/>
        <v/>
      </c>
      <c r="C55" s="473">
        <f>IF(D11="","-",+C54+1)</f>
        <v>2048</v>
      </c>
      <c r="D55" s="486">
        <f>IF(F54+SUM(E$17:E54)=D$10,F54,D$10-SUM(E$17:E54))</f>
        <v>4321.3216485430021</v>
      </c>
      <c r="E55" s="485">
        <f>IF(+I14&lt;F54,I14,D55)</f>
        <v>513.88372093023258</v>
      </c>
      <c r="F55" s="486">
        <f t="shared" si="16"/>
        <v>3807.4379276127693</v>
      </c>
      <c r="G55" s="487">
        <f t="shared" si="14"/>
        <v>981.51636443836003</v>
      </c>
      <c r="H55" s="456">
        <f t="shared" si="15"/>
        <v>981.51636443836003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21"/>
        <v/>
      </c>
      <c r="C56" s="473">
        <f>IF(D11="","-",+C55+1)</f>
        <v>2049</v>
      </c>
      <c r="D56" s="486">
        <f>IF(F55+SUM(E$17:E55)=D$10,F55,D$10-SUM(E$17:E55))</f>
        <v>3807.4379276127693</v>
      </c>
      <c r="E56" s="485">
        <f>IF(+I14&lt;F55,I14,D56)</f>
        <v>513.88372093023258</v>
      </c>
      <c r="F56" s="486">
        <f t="shared" si="16"/>
        <v>3293.5542066825365</v>
      </c>
      <c r="G56" s="487">
        <f t="shared" si="14"/>
        <v>922.39078675998962</v>
      </c>
      <c r="H56" s="456">
        <f t="shared" si="15"/>
        <v>922.39078675998962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21"/>
        <v/>
      </c>
      <c r="C57" s="473">
        <f>IF(D11="","-",+C56+1)</f>
        <v>2050</v>
      </c>
      <c r="D57" s="486">
        <f>IF(F56+SUM(E$17:E56)=D$10,F56,D$10-SUM(E$17:E56))</f>
        <v>3293.5542066825365</v>
      </c>
      <c r="E57" s="485">
        <f>IF(+I14&lt;F56,I14,D57)</f>
        <v>513.88372093023258</v>
      </c>
      <c r="F57" s="486">
        <f t="shared" si="16"/>
        <v>2779.6704857523036</v>
      </c>
      <c r="G57" s="487">
        <f t="shared" si="14"/>
        <v>863.26520908161933</v>
      </c>
      <c r="H57" s="456">
        <f t="shared" si="15"/>
        <v>863.26520908161933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21"/>
        <v/>
      </c>
      <c r="C58" s="473">
        <f>IF(D11="","-",+C57+1)</f>
        <v>2051</v>
      </c>
      <c r="D58" s="486">
        <f>IF(F57+SUM(E$17:E57)=D$10,F57,D$10-SUM(E$17:E57))</f>
        <v>2779.6704857523036</v>
      </c>
      <c r="E58" s="485">
        <f>IF(+I14&lt;F57,I14,D58)</f>
        <v>513.88372093023258</v>
      </c>
      <c r="F58" s="486">
        <f t="shared" si="16"/>
        <v>2265.7867648220708</v>
      </c>
      <c r="G58" s="487">
        <f t="shared" si="14"/>
        <v>804.13963140324881</v>
      </c>
      <c r="H58" s="456">
        <f t="shared" si="15"/>
        <v>804.13963140324881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21"/>
        <v/>
      </c>
      <c r="C59" s="473">
        <f>IF(D11="","-",+C58+1)</f>
        <v>2052</v>
      </c>
      <c r="D59" s="486">
        <f>IF(F58+SUM(E$17:E58)=D$10,F58,D$10-SUM(E$17:E58))</f>
        <v>2265.7867648220708</v>
      </c>
      <c r="E59" s="485">
        <f>IF(+I14&lt;F58,I14,D59)</f>
        <v>513.88372093023258</v>
      </c>
      <c r="F59" s="486">
        <f t="shared" si="16"/>
        <v>1751.9030438918383</v>
      </c>
      <c r="G59" s="487">
        <f t="shared" si="14"/>
        <v>745.01405372487852</v>
      </c>
      <c r="H59" s="456">
        <f t="shared" si="15"/>
        <v>745.01405372487852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21"/>
        <v/>
      </c>
      <c r="C60" s="473">
        <f>IF(D11="","-",+C59+1)</f>
        <v>2053</v>
      </c>
      <c r="D60" s="486">
        <f>IF(F59+SUM(E$17:E59)=D$10,F59,D$10-SUM(E$17:E59))</f>
        <v>1751.9030438918383</v>
      </c>
      <c r="E60" s="485">
        <f>IF(+I14&lt;F59,I14,D60)</f>
        <v>513.88372093023258</v>
      </c>
      <c r="F60" s="486">
        <f t="shared" si="16"/>
        <v>1238.0193229616057</v>
      </c>
      <c r="G60" s="487">
        <f t="shared" si="14"/>
        <v>685.88847604650812</v>
      </c>
      <c r="H60" s="456">
        <f t="shared" si="15"/>
        <v>685.88847604650812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21"/>
        <v/>
      </c>
      <c r="C61" s="473">
        <f>IF(D11="","-",+C60+1)</f>
        <v>2054</v>
      </c>
      <c r="D61" s="486">
        <f>IF(F60+SUM(E$17:E60)=D$10,F60,D$10-SUM(E$17:E60))</f>
        <v>1238.0193229616057</v>
      </c>
      <c r="E61" s="485">
        <f>IF(+I14&lt;F60,I14,D61)</f>
        <v>513.88372093023258</v>
      </c>
      <c r="F61" s="486">
        <f t="shared" si="16"/>
        <v>724.13560203137308</v>
      </c>
      <c r="G61" s="487">
        <f t="shared" si="14"/>
        <v>626.76289836813771</v>
      </c>
      <c r="H61" s="456">
        <f t="shared" si="15"/>
        <v>626.76289836813771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21"/>
        <v/>
      </c>
      <c r="C62" s="473">
        <f>IF(D11="","-",+C61+1)</f>
        <v>2055</v>
      </c>
      <c r="D62" s="486">
        <f>IF(F61+SUM(E$17:E61)=D$10,F61,D$10-SUM(E$17:E61))</f>
        <v>724.13560203137308</v>
      </c>
      <c r="E62" s="485">
        <f>IF(+I14&lt;F61,I14,D62)</f>
        <v>513.88372093023258</v>
      </c>
      <c r="F62" s="486">
        <f t="shared" si="16"/>
        <v>210.2518811011405</v>
      </c>
      <c r="G62" s="487">
        <f t="shared" si="14"/>
        <v>567.63732068976742</v>
      </c>
      <c r="H62" s="456">
        <f t="shared" si="15"/>
        <v>567.63732068976742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21"/>
        <v/>
      </c>
      <c r="C63" s="473">
        <f>IF(D11="","-",+C62+1)</f>
        <v>2056</v>
      </c>
      <c r="D63" s="486">
        <f>IF(F62+SUM(E$17:E62)=D$10,F62,D$10-SUM(E$17:E62))</f>
        <v>210.2518811011405</v>
      </c>
      <c r="E63" s="485">
        <f>IF(+I14&lt;F62,I14,D63)</f>
        <v>210.2518811011405</v>
      </c>
      <c r="F63" s="486">
        <f t="shared" si="16"/>
        <v>0</v>
      </c>
      <c r="G63" s="487">
        <f t="shared" si="14"/>
        <v>222.34728656131531</v>
      </c>
      <c r="H63" s="456">
        <f t="shared" si="15"/>
        <v>222.34728656131531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21"/>
        <v/>
      </c>
      <c r="C64" s="473">
        <f>IF(D11="","-",+C63+1)</f>
        <v>2057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6"/>
        <v>0</v>
      </c>
      <c r="G64" s="487">
        <f t="shared" si="14"/>
        <v>0</v>
      </c>
      <c r="H64" s="456">
        <f t="shared" si="15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21"/>
        <v/>
      </c>
      <c r="C65" s="473">
        <f>IF(D11="","-",+C64+1)</f>
        <v>2058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6"/>
        <v>0</v>
      </c>
      <c r="G65" s="487">
        <f t="shared" si="14"/>
        <v>0</v>
      </c>
      <c r="H65" s="456">
        <f t="shared" si="15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21"/>
        <v/>
      </c>
      <c r="C66" s="473">
        <f>IF(D11="","-",+C65+1)</f>
        <v>2059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6"/>
        <v>0</v>
      </c>
      <c r="G66" s="487">
        <f t="shared" si="14"/>
        <v>0</v>
      </c>
      <c r="H66" s="456">
        <f t="shared" si="15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21"/>
        <v/>
      </c>
      <c r="C67" s="473">
        <f>IF(D11="","-",+C66+1)</f>
        <v>2060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6"/>
        <v>0</v>
      </c>
      <c r="G67" s="487">
        <f t="shared" si="14"/>
        <v>0</v>
      </c>
      <c r="H67" s="456">
        <f t="shared" si="15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21"/>
        <v/>
      </c>
      <c r="C68" s="473">
        <f>IF(D11="","-",+C67+1)</f>
        <v>2061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6"/>
        <v>0</v>
      </c>
      <c r="G68" s="487">
        <f t="shared" si="14"/>
        <v>0</v>
      </c>
      <c r="H68" s="456">
        <f t="shared" si="15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21"/>
        <v/>
      </c>
      <c r="C69" s="473">
        <f>IF(D11="","-",+C68+1)</f>
        <v>2062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6"/>
        <v>0</v>
      </c>
      <c r="G69" s="487">
        <f t="shared" si="14"/>
        <v>0</v>
      </c>
      <c r="H69" s="456">
        <f t="shared" si="15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21"/>
        <v/>
      </c>
      <c r="C70" s="473">
        <f>IF(D11="","-",+C69+1)</f>
        <v>2063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6"/>
        <v>0</v>
      </c>
      <c r="G70" s="487">
        <f t="shared" si="14"/>
        <v>0</v>
      </c>
      <c r="H70" s="456">
        <f t="shared" si="15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21"/>
        <v/>
      </c>
      <c r="C71" s="473">
        <f>IF(D11="","-",+C70+1)</f>
        <v>2064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6"/>
        <v>0</v>
      </c>
      <c r="G71" s="487">
        <f t="shared" si="14"/>
        <v>0</v>
      </c>
      <c r="H71" s="456">
        <f t="shared" si="15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21"/>
        <v/>
      </c>
      <c r="C72" s="490">
        <f>IF(D11="","-",+C71+1)</f>
        <v>2065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6"/>
        <v>0</v>
      </c>
      <c r="G72" s="491">
        <f t="shared" si="14"/>
        <v>0</v>
      </c>
      <c r="H72" s="491">
        <f t="shared" si="15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22097</v>
      </c>
      <c r="F73" s="348"/>
      <c r="G73" s="348">
        <f>SUM(G17:G72)</f>
        <v>83301.350174570849</v>
      </c>
      <c r="H73" s="348">
        <f>SUM(H17:H72)</f>
        <v>83301.350174570849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13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2519.8053226007855</v>
      </c>
      <c r="N87" s="509">
        <f>IF(J92&lt;D11,0,VLOOKUP(J92,C17:O72,11))</f>
        <v>2519.8053226007855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2628.4939297021565</v>
      </c>
      <c r="N88" s="513">
        <f>IF(J92&lt;D11,0,VLOOKUP(J92,C99:P154,7))</f>
        <v>2628.4939297021565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CoffeyvilleT to Dearing 138 kv Rebuild - 1.1 mi*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108.68860710137096</v>
      </c>
      <c r="N89" s="518">
        <f>+N88-N87</f>
        <v>108.68860710137096</v>
      </c>
      <c r="O89" s="519">
        <f>+O88-O87</f>
        <v>0</v>
      </c>
      <c r="P89" s="233"/>
    </row>
    <row r="90" spans="1:16" ht="13.5" thickBot="1">
      <c r="C90" s="497"/>
      <c r="D90" s="520" t="str">
        <f>D8</f>
        <v>DOES NOT MEET SPP $100,000 MINIMUM INVESTMENT FOR REGIONAL BPU SHARING.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TP2008013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22097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2010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514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591">
        <f>D93</f>
        <v>2010</v>
      </c>
      <c r="D99" s="592">
        <v>0</v>
      </c>
      <c r="E99" s="593">
        <v>0</v>
      </c>
      <c r="F99" s="593">
        <v>0</v>
      </c>
      <c r="G99" s="593">
        <v>0</v>
      </c>
      <c r="H99" s="594">
        <v>0</v>
      </c>
      <c r="I99" s="593">
        <v>0</v>
      </c>
      <c r="J99" s="595">
        <v>0</v>
      </c>
      <c r="K99" s="479"/>
      <c r="L99" s="568">
        <f t="shared" ref="L99:L104" si="22">H99</f>
        <v>0</v>
      </c>
      <c r="M99" s="569">
        <f t="shared" ref="M99:M104" si="23">IF(L99&lt;&gt;0,+H99-L99,0)</f>
        <v>0</v>
      </c>
      <c r="N99" s="568">
        <f t="shared" ref="N99:N104" si="24">I99</f>
        <v>0</v>
      </c>
      <c r="O99" s="478">
        <f t="shared" ref="O99:O104" si="25">IF(N99&lt;&gt;0,+I99-N99,0)</f>
        <v>0</v>
      </c>
      <c r="P99" s="478">
        <f t="shared" ref="P99:P104" si="26">+O99-M99</f>
        <v>0</v>
      </c>
    </row>
    <row r="100" spans="1:16" ht="12.5">
      <c r="C100" s="473">
        <f>IF(D91="","-",+C99+1)</f>
        <v>2011</v>
      </c>
      <c r="D100" s="596">
        <v>0</v>
      </c>
      <c r="E100" s="597">
        <v>0</v>
      </c>
      <c r="F100" s="597">
        <v>0</v>
      </c>
      <c r="G100" s="597">
        <v>0</v>
      </c>
      <c r="H100" s="598">
        <v>0</v>
      </c>
      <c r="I100" s="597">
        <v>0</v>
      </c>
      <c r="J100" s="599">
        <v>0</v>
      </c>
      <c r="K100" s="479"/>
      <c r="L100" s="541">
        <f t="shared" si="22"/>
        <v>0</v>
      </c>
      <c r="M100" s="542">
        <f t="shared" si="23"/>
        <v>0</v>
      </c>
      <c r="N100" s="541">
        <f t="shared" si="24"/>
        <v>0</v>
      </c>
      <c r="O100" s="479">
        <f t="shared" si="25"/>
        <v>0</v>
      </c>
      <c r="P100" s="479">
        <f t="shared" si="26"/>
        <v>0</v>
      </c>
    </row>
    <row r="101" spans="1:16" ht="12.5">
      <c r="C101" s="473">
        <f>IF(D92="","-",+C100+1)</f>
        <v>2012</v>
      </c>
      <c r="D101" s="579">
        <v>22097</v>
      </c>
      <c r="E101" s="580">
        <v>212.5</v>
      </c>
      <c r="F101" s="581">
        <v>21884.5</v>
      </c>
      <c r="G101" s="581">
        <v>21990.75</v>
      </c>
      <c r="H101" s="583">
        <v>3375.9899363381005</v>
      </c>
      <c r="I101" s="584">
        <v>3375.9899363381005</v>
      </c>
      <c r="J101" s="479">
        <v>0</v>
      </c>
      <c r="K101" s="479"/>
      <c r="L101" s="541">
        <f t="shared" si="22"/>
        <v>3375.9899363381005</v>
      </c>
      <c r="M101" s="542">
        <f t="shared" si="23"/>
        <v>0</v>
      </c>
      <c r="N101" s="541">
        <f t="shared" si="24"/>
        <v>3375.9899363381005</v>
      </c>
      <c r="O101" s="479">
        <f t="shared" si="25"/>
        <v>0</v>
      </c>
      <c r="P101" s="479">
        <f t="shared" si="26"/>
        <v>0</v>
      </c>
    </row>
    <row r="102" spans="1:16" ht="12.5">
      <c r="B102" s="160" t="str">
        <f t="shared" ref="B102:B133" si="27">IF(D102=F101,"","IU")</f>
        <v/>
      </c>
      <c r="C102" s="473">
        <f>IF(D93="","-",+C101+1)</f>
        <v>2013</v>
      </c>
      <c r="D102" s="579">
        <v>21884.5</v>
      </c>
      <c r="E102" s="580">
        <v>425</v>
      </c>
      <c r="F102" s="581">
        <v>21459.5</v>
      </c>
      <c r="G102" s="581">
        <v>21672</v>
      </c>
      <c r="H102" s="583">
        <v>3544.458879858515</v>
      </c>
      <c r="I102" s="584">
        <v>3544.458879858515</v>
      </c>
      <c r="J102" s="479">
        <v>0</v>
      </c>
      <c r="K102" s="479"/>
      <c r="L102" s="541">
        <f t="shared" si="22"/>
        <v>3544.458879858515</v>
      </c>
      <c r="M102" s="542">
        <f t="shared" si="23"/>
        <v>0</v>
      </c>
      <c r="N102" s="541">
        <f t="shared" si="24"/>
        <v>3544.458879858515</v>
      </c>
      <c r="O102" s="479">
        <f t="shared" si="25"/>
        <v>0</v>
      </c>
      <c r="P102" s="479">
        <f t="shared" si="26"/>
        <v>0</v>
      </c>
    </row>
    <row r="103" spans="1:16" ht="12.5">
      <c r="B103" s="160" t="str">
        <f t="shared" si="27"/>
        <v/>
      </c>
      <c r="C103" s="473">
        <f>IF(D93="","-",+C102+1)</f>
        <v>2014</v>
      </c>
      <c r="D103" s="579">
        <v>21459.5</v>
      </c>
      <c r="E103" s="580">
        <v>425</v>
      </c>
      <c r="F103" s="581">
        <v>21034.5</v>
      </c>
      <c r="G103" s="581">
        <v>21247</v>
      </c>
      <c r="H103" s="583">
        <v>3412.2413474199548</v>
      </c>
      <c r="I103" s="584">
        <v>3412.2413474199548</v>
      </c>
      <c r="J103" s="479">
        <v>0</v>
      </c>
      <c r="K103" s="479"/>
      <c r="L103" s="541">
        <f t="shared" si="22"/>
        <v>3412.2413474199548</v>
      </c>
      <c r="M103" s="542">
        <f t="shared" si="23"/>
        <v>0</v>
      </c>
      <c r="N103" s="541">
        <f t="shared" si="24"/>
        <v>3412.2413474199548</v>
      </c>
      <c r="O103" s="479">
        <f t="shared" si="25"/>
        <v>0</v>
      </c>
      <c r="P103" s="479">
        <f t="shared" si="26"/>
        <v>0</v>
      </c>
    </row>
    <row r="104" spans="1:16" ht="12.5">
      <c r="B104" s="160" t="str">
        <f t="shared" si="27"/>
        <v/>
      </c>
      <c r="C104" s="473">
        <f>IF(D93="","-",+C103+1)</f>
        <v>2015</v>
      </c>
      <c r="D104" s="579">
        <v>21034.5</v>
      </c>
      <c r="E104" s="580">
        <v>425</v>
      </c>
      <c r="F104" s="581">
        <v>20609.5</v>
      </c>
      <c r="G104" s="581">
        <v>20822</v>
      </c>
      <c r="H104" s="583">
        <v>3265.9944828697971</v>
      </c>
      <c r="I104" s="584">
        <v>3265.9944828697971</v>
      </c>
      <c r="J104" s="479">
        <f t="shared" ref="J104:J132" si="28">+I104-H104</f>
        <v>0</v>
      </c>
      <c r="K104" s="479"/>
      <c r="L104" s="541">
        <f t="shared" si="22"/>
        <v>3265.9944828697971</v>
      </c>
      <c r="M104" s="542">
        <f t="shared" si="23"/>
        <v>0</v>
      </c>
      <c r="N104" s="541">
        <f t="shared" si="24"/>
        <v>3265.9944828697971</v>
      </c>
      <c r="O104" s="479">
        <f t="shared" si="25"/>
        <v>0</v>
      </c>
      <c r="P104" s="479">
        <f t="shared" si="26"/>
        <v>0</v>
      </c>
    </row>
    <row r="105" spans="1:16" ht="12.5">
      <c r="B105" s="160" t="str">
        <f t="shared" si="27"/>
        <v/>
      </c>
      <c r="C105" s="473">
        <f>IF(D93="","-",+C104+1)</f>
        <v>2016</v>
      </c>
      <c r="D105" s="579">
        <v>20609.5</v>
      </c>
      <c r="E105" s="580">
        <v>480</v>
      </c>
      <c r="F105" s="581">
        <v>20129.5</v>
      </c>
      <c r="G105" s="581">
        <v>20369.5</v>
      </c>
      <c r="H105" s="583">
        <v>3105.9493466960757</v>
      </c>
      <c r="I105" s="584">
        <v>3105.9493466960757</v>
      </c>
      <c r="J105" s="479">
        <f t="shared" si="28"/>
        <v>0</v>
      </c>
      <c r="K105" s="479"/>
      <c r="L105" s="541">
        <f>H105</f>
        <v>3105.9493466960757</v>
      </c>
      <c r="M105" s="542">
        <f>IF(L105&lt;&gt;0,+H105-L105,0)</f>
        <v>0</v>
      </c>
      <c r="N105" s="541">
        <f>I105</f>
        <v>3105.9493466960757</v>
      </c>
      <c r="O105" s="479">
        <f>IF(N105&lt;&gt;0,+I105-N105,0)</f>
        <v>0</v>
      </c>
      <c r="P105" s="479">
        <f>+O105-M105</f>
        <v>0</v>
      </c>
    </row>
    <row r="106" spans="1:16" ht="12.5">
      <c r="B106" s="160" t="str">
        <f t="shared" si="27"/>
        <v/>
      </c>
      <c r="C106" s="473">
        <f>IF(D93="","-",+C105+1)</f>
        <v>2017</v>
      </c>
      <c r="D106" s="579">
        <v>20129.5</v>
      </c>
      <c r="E106" s="580">
        <v>480</v>
      </c>
      <c r="F106" s="581">
        <v>19649.5</v>
      </c>
      <c r="G106" s="581">
        <v>19889.5</v>
      </c>
      <c r="H106" s="583">
        <v>3003.0332263920673</v>
      </c>
      <c r="I106" s="584">
        <v>3003.0332263920673</v>
      </c>
      <c r="J106" s="479">
        <f t="shared" si="28"/>
        <v>0</v>
      </c>
      <c r="K106" s="479"/>
      <c r="L106" s="541">
        <f>H106</f>
        <v>3003.0332263920673</v>
      </c>
      <c r="M106" s="542">
        <f>IF(L106&lt;&gt;0,+H106-L106,0)</f>
        <v>0</v>
      </c>
      <c r="N106" s="541">
        <f>I106</f>
        <v>3003.0332263920673</v>
      </c>
      <c r="O106" s="479">
        <f>IF(N106&lt;&gt;0,+I106-N106,0)</f>
        <v>0</v>
      </c>
      <c r="P106" s="479">
        <f>+O106-M106</f>
        <v>0</v>
      </c>
    </row>
    <row r="107" spans="1:16" ht="12.5">
      <c r="B107" s="160" t="str">
        <f t="shared" si="27"/>
        <v/>
      </c>
      <c r="C107" s="473">
        <f>IF(D93="","-",+C106+1)</f>
        <v>2018</v>
      </c>
      <c r="D107" s="579">
        <v>19649.5</v>
      </c>
      <c r="E107" s="580">
        <v>514</v>
      </c>
      <c r="F107" s="581">
        <v>19135.5</v>
      </c>
      <c r="G107" s="581">
        <v>19392.5</v>
      </c>
      <c r="H107" s="583">
        <v>2506.299479691007</v>
      </c>
      <c r="I107" s="584">
        <v>2506.299479691007</v>
      </c>
      <c r="J107" s="479">
        <f t="shared" si="28"/>
        <v>0</v>
      </c>
      <c r="K107" s="479"/>
      <c r="L107" s="541">
        <f>H107</f>
        <v>2506.299479691007</v>
      </c>
      <c r="M107" s="542">
        <f>IF(L107&lt;&gt;0,+H107-L107,0)</f>
        <v>0</v>
      </c>
      <c r="N107" s="541">
        <f>I107</f>
        <v>2506.299479691007</v>
      </c>
      <c r="O107" s="479">
        <f>IF(N107&lt;&gt;0,+I107-N107,0)</f>
        <v>0</v>
      </c>
      <c r="P107" s="479">
        <f>+O107-M107</f>
        <v>0</v>
      </c>
    </row>
    <row r="108" spans="1:16" ht="12.5">
      <c r="B108" s="160" t="str">
        <f t="shared" si="27"/>
        <v/>
      </c>
      <c r="C108" s="473">
        <f>IF(D93="","-",+C107+1)</f>
        <v>2019</v>
      </c>
      <c r="D108" s="579">
        <v>19135.5</v>
      </c>
      <c r="E108" s="580">
        <v>539</v>
      </c>
      <c r="F108" s="581">
        <v>18596.5</v>
      </c>
      <c r="G108" s="581">
        <v>18866</v>
      </c>
      <c r="H108" s="583">
        <v>2484.3492160371716</v>
      </c>
      <c r="I108" s="584">
        <v>2484.3492160371716</v>
      </c>
      <c r="J108" s="479">
        <f t="shared" si="28"/>
        <v>0</v>
      </c>
      <c r="K108" s="479"/>
      <c r="L108" s="541">
        <f>H108</f>
        <v>2484.3492160371716</v>
      </c>
      <c r="M108" s="542">
        <f>IF(L108&lt;&gt;0,+H108-L108,0)</f>
        <v>0</v>
      </c>
      <c r="N108" s="541">
        <f>I108</f>
        <v>2484.3492160371716</v>
      </c>
      <c r="O108" s="479">
        <f t="shared" ref="O108:O130" si="29">IF(N108&lt;&gt;0,+I110-N108,0)</f>
        <v>84.881926791465503</v>
      </c>
      <c r="P108" s="479">
        <f t="shared" ref="P108:P130" si="30">+O108-M108</f>
        <v>84.881926791465503</v>
      </c>
    </row>
    <row r="109" spans="1:16" ht="12.5">
      <c r="B109" s="160" t="str">
        <f t="shared" si="27"/>
        <v/>
      </c>
      <c r="C109" s="473">
        <f>IF(D93="","-",+C108+1)</f>
        <v>2020</v>
      </c>
      <c r="D109" s="347">
        <f>IF(F108+SUM(E$101:E108)=D$92,F108,D$92-SUM(E$101:E108))</f>
        <v>18596.5</v>
      </c>
      <c r="E109" s="487">
        <f>IF(+J96&lt;F108,J96,D109)</f>
        <v>514</v>
      </c>
      <c r="F109" s="486">
        <f t="shared" ref="F109:F133" si="31">+D109-E109</f>
        <v>18082.5</v>
      </c>
      <c r="G109" s="486">
        <f t="shared" ref="G109:G132" si="32">+(F109+D109)/2</f>
        <v>18339.5</v>
      </c>
      <c r="H109" s="487">
        <f>(D109+F109)/2*J$94+E109</f>
        <v>2628.4939297021565</v>
      </c>
      <c r="I109" s="543">
        <f t="shared" ref="I109" si="33">+J$95*G109+E109</f>
        <v>2628.4939297021565</v>
      </c>
      <c r="J109" s="479">
        <f t="shared" si="28"/>
        <v>0</v>
      </c>
      <c r="K109" s="479"/>
      <c r="L109" s="488"/>
      <c r="M109" s="479">
        <f t="shared" ref="M109:M130" si="34">IF(L109&lt;&gt;0,+H111-L109,0)</f>
        <v>0</v>
      </c>
      <c r="N109" s="488"/>
      <c r="O109" s="479">
        <f t="shared" si="29"/>
        <v>0</v>
      </c>
      <c r="P109" s="479">
        <f t="shared" si="30"/>
        <v>0</v>
      </c>
    </row>
    <row r="110" spans="1:16" ht="12.5">
      <c r="B110" s="160" t="str">
        <f t="shared" si="27"/>
        <v/>
      </c>
      <c r="C110" s="473">
        <f>IF(D93="","-",+C109+1)</f>
        <v>2021</v>
      </c>
      <c r="D110" s="347">
        <f>IF(F109+SUM(E$101:E109)=D$92,F109,D$92-SUM(E$101:E109))</f>
        <v>18082.5</v>
      </c>
      <c r="E110" s="487">
        <f>IF(+J96&lt;F109,J96,D110)</f>
        <v>514</v>
      </c>
      <c r="F110" s="486">
        <f t="shared" si="31"/>
        <v>17568.5</v>
      </c>
      <c r="G110" s="486">
        <f t="shared" si="32"/>
        <v>17825.5</v>
      </c>
      <c r="H110" s="487">
        <f t="shared" ref="H110:H153" si="35">(D110+F110)/2*J$94+E110</f>
        <v>2569.2311428286371</v>
      </c>
      <c r="I110" s="543">
        <f t="shared" ref="I110:I153" si="36">+J$95*G110+E110</f>
        <v>2569.2311428286371</v>
      </c>
      <c r="J110" s="479">
        <f t="shared" si="28"/>
        <v>0</v>
      </c>
      <c r="K110" s="479"/>
      <c r="L110" s="488"/>
      <c r="M110" s="479">
        <f t="shared" si="34"/>
        <v>0</v>
      </c>
      <c r="N110" s="488"/>
      <c r="O110" s="479">
        <f t="shared" si="29"/>
        <v>0</v>
      </c>
      <c r="P110" s="479">
        <f t="shared" si="30"/>
        <v>0</v>
      </c>
    </row>
    <row r="111" spans="1:16" ht="12.5">
      <c r="B111" s="160" t="str">
        <f t="shared" si="27"/>
        <v/>
      </c>
      <c r="C111" s="473">
        <f>IF(D93="","-",+C110+1)</f>
        <v>2022</v>
      </c>
      <c r="D111" s="347">
        <f>IF(F110+SUM(E$101:E110)=D$92,F110,D$92-SUM(E$101:E110))</f>
        <v>17568.5</v>
      </c>
      <c r="E111" s="487">
        <f>IF(+J96&lt;F110,J96,D111)</f>
        <v>514</v>
      </c>
      <c r="F111" s="486">
        <f t="shared" si="31"/>
        <v>17054.5</v>
      </c>
      <c r="G111" s="486">
        <f t="shared" si="32"/>
        <v>17311.5</v>
      </c>
      <c r="H111" s="487">
        <f t="shared" si="35"/>
        <v>2509.9683559551177</v>
      </c>
      <c r="I111" s="543">
        <f t="shared" si="36"/>
        <v>2509.9683559551177</v>
      </c>
      <c r="J111" s="479">
        <f t="shared" si="28"/>
        <v>0</v>
      </c>
      <c r="K111" s="479"/>
      <c r="L111" s="488"/>
      <c r="M111" s="479">
        <f t="shared" si="34"/>
        <v>0</v>
      </c>
      <c r="N111" s="488"/>
      <c r="O111" s="479">
        <f t="shared" si="29"/>
        <v>0</v>
      </c>
      <c r="P111" s="479">
        <f t="shared" si="30"/>
        <v>0</v>
      </c>
    </row>
    <row r="112" spans="1:16" ht="12.5">
      <c r="B112" s="160" t="str">
        <f t="shared" si="27"/>
        <v/>
      </c>
      <c r="C112" s="473">
        <f>IF(D93="","-",+C111+1)</f>
        <v>2023</v>
      </c>
      <c r="D112" s="347">
        <f>IF(F111+SUM(E$101:E111)=D$92,F111,D$92-SUM(E$101:E111))</f>
        <v>17054.5</v>
      </c>
      <c r="E112" s="487">
        <f>IF(+J96&lt;F111,J96,D112)</f>
        <v>514</v>
      </c>
      <c r="F112" s="486">
        <f t="shared" si="31"/>
        <v>16540.5</v>
      </c>
      <c r="G112" s="486">
        <f t="shared" si="32"/>
        <v>16797.5</v>
      </c>
      <c r="H112" s="487">
        <f t="shared" si="35"/>
        <v>2450.7055690815982</v>
      </c>
      <c r="I112" s="543">
        <f t="shared" si="36"/>
        <v>2450.7055690815982</v>
      </c>
      <c r="J112" s="479">
        <f t="shared" si="28"/>
        <v>0</v>
      </c>
      <c r="K112" s="479"/>
      <c r="L112" s="488"/>
      <c r="M112" s="479">
        <f t="shared" si="34"/>
        <v>0</v>
      </c>
      <c r="N112" s="488"/>
      <c r="O112" s="479">
        <f t="shared" si="29"/>
        <v>0</v>
      </c>
      <c r="P112" s="479">
        <f t="shared" si="30"/>
        <v>0</v>
      </c>
    </row>
    <row r="113" spans="2:16" ht="12.5">
      <c r="B113" s="160" t="str">
        <f t="shared" si="27"/>
        <v/>
      </c>
      <c r="C113" s="473">
        <f>IF(D93="","-",+C112+1)</f>
        <v>2024</v>
      </c>
      <c r="D113" s="347">
        <f>IF(F112+SUM(E$101:E112)=D$92,F112,D$92-SUM(E$101:E112))</f>
        <v>16540.5</v>
      </c>
      <c r="E113" s="487">
        <f>IF(+J96&lt;F112,J96,D113)</f>
        <v>514</v>
      </c>
      <c r="F113" s="486">
        <f t="shared" si="31"/>
        <v>16026.5</v>
      </c>
      <c r="G113" s="486">
        <f t="shared" si="32"/>
        <v>16283.5</v>
      </c>
      <c r="H113" s="487">
        <f t="shared" si="35"/>
        <v>2391.4427822080788</v>
      </c>
      <c r="I113" s="543">
        <f t="shared" si="36"/>
        <v>2391.4427822080788</v>
      </c>
      <c r="J113" s="479">
        <f t="shared" si="28"/>
        <v>0</v>
      </c>
      <c r="K113" s="479"/>
      <c r="L113" s="488"/>
      <c r="M113" s="479">
        <f t="shared" si="34"/>
        <v>0</v>
      </c>
      <c r="N113" s="488"/>
      <c r="O113" s="479">
        <f t="shared" si="29"/>
        <v>0</v>
      </c>
      <c r="P113" s="479">
        <f t="shared" si="30"/>
        <v>0</v>
      </c>
    </row>
    <row r="114" spans="2:16" ht="12.5">
      <c r="B114" s="160" t="str">
        <f t="shared" si="27"/>
        <v/>
      </c>
      <c r="C114" s="473">
        <f>IF(D93="","-",+C113+1)</f>
        <v>2025</v>
      </c>
      <c r="D114" s="347">
        <f>IF(F113+SUM(E$101:E113)=D$92,F113,D$92-SUM(E$101:E113))</f>
        <v>16026.5</v>
      </c>
      <c r="E114" s="487">
        <f>IF(+J96&lt;F113,J96,D114)</f>
        <v>514</v>
      </c>
      <c r="F114" s="486">
        <f t="shared" si="31"/>
        <v>15512.5</v>
      </c>
      <c r="G114" s="486">
        <f t="shared" si="32"/>
        <v>15769.5</v>
      </c>
      <c r="H114" s="487">
        <f t="shared" si="35"/>
        <v>2332.1799953345594</v>
      </c>
      <c r="I114" s="543">
        <f t="shared" si="36"/>
        <v>2332.1799953345594</v>
      </c>
      <c r="J114" s="479">
        <f t="shared" si="28"/>
        <v>0</v>
      </c>
      <c r="K114" s="479"/>
      <c r="L114" s="488"/>
      <c r="M114" s="479">
        <f t="shared" si="34"/>
        <v>0</v>
      </c>
      <c r="N114" s="488"/>
      <c r="O114" s="479">
        <f t="shared" si="29"/>
        <v>0</v>
      </c>
      <c r="P114" s="479">
        <f t="shared" si="30"/>
        <v>0</v>
      </c>
    </row>
    <row r="115" spans="2:16" ht="12.5">
      <c r="B115" s="160" t="str">
        <f t="shared" si="27"/>
        <v/>
      </c>
      <c r="C115" s="473">
        <f>IF(D93="","-",+C114+1)</f>
        <v>2026</v>
      </c>
      <c r="D115" s="347">
        <f>IF(F114+SUM(E$101:E114)=D$92,F114,D$92-SUM(E$101:E114))</f>
        <v>15512.5</v>
      </c>
      <c r="E115" s="487">
        <f>IF(+J96&lt;F114,J96,D115)</f>
        <v>514</v>
      </c>
      <c r="F115" s="486">
        <f t="shared" si="31"/>
        <v>14998.5</v>
      </c>
      <c r="G115" s="486">
        <f t="shared" si="32"/>
        <v>15255.5</v>
      </c>
      <c r="H115" s="487">
        <f t="shared" si="35"/>
        <v>2272.91720846104</v>
      </c>
      <c r="I115" s="543">
        <f t="shared" si="36"/>
        <v>2272.91720846104</v>
      </c>
      <c r="J115" s="479">
        <f t="shared" si="28"/>
        <v>0</v>
      </c>
      <c r="K115" s="479"/>
      <c r="L115" s="488"/>
      <c r="M115" s="479">
        <f t="shared" si="34"/>
        <v>0</v>
      </c>
      <c r="N115" s="488"/>
      <c r="O115" s="479">
        <f t="shared" si="29"/>
        <v>0</v>
      </c>
      <c r="P115" s="479">
        <f t="shared" si="30"/>
        <v>0</v>
      </c>
    </row>
    <row r="116" spans="2:16" ht="12.5">
      <c r="B116" s="160" t="str">
        <f t="shared" si="27"/>
        <v/>
      </c>
      <c r="C116" s="473">
        <f>IF(D93="","-",+C115+1)</f>
        <v>2027</v>
      </c>
      <c r="D116" s="347">
        <f>IF(F115+SUM(E$101:E115)=D$92,F115,D$92-SUM(E$101:E115))</f>
        <v>14998.5</v>
      </c>
      <c r="E116" s="487">
        <f>IF(+J96&lt;F115,J96,D116)</f>
        <v>514</v>
      </c>
      <c r="F116" s="486">
        <f t="shared" si="31"/>
        <v>14484.5</v>
      </c>
      <c r="G116" s="486">
        <f t="shared" si="32"/>
        <v>14741.5</v>
      </c>
      <c r="H116" s="487">
        <f t="shared" si="35"/>
        <v>2213.654421587521</v>
      </c>
      <c r="I116" s="543">
        <f t="shared" si="36"/>
        <v>2213.654421587521</v>
      </c>
      <c r="J116" s="479">
        <f t="shared" si="28"/>
        <v>0</v>
      </c>
      <c r="K116" s="479"/>
      <c r="L116" s="488"/>
      <c r="M116" s="479">
        <f t="shared" si="34"/>
        <v>0</v>
      </c>
      <c r="N116" s="488"/>
      <c r="O116" s="479">
        <f t="shared" si="29"/>
        <v>0</v>
      </c>
      <c r="P116" s="479">
        <f t="shared" si="30"/>
        <v>0</v>
      </c>
    </row>
    <row r="117" spans="2:16" ht="12.5">
      <c r="B117" s="160" t="str">
        <f t="shared" si="27"/>
        <v/>
      </c>
      <c r="C117" s="473">
        <f>IF(D93="","-",+C116+1)</f>
        <v>2028</v>
      </c>
      <c r="D117" s="347">
        <f>IF(F116+SUM(E$101:E116)=D$92,F116,D$92-SUM(E$101:E116))</f>
        <v>14484.5</v>
      </c>
      <c r="E117" s="487">
        <f>IF(+J96&lt;F116,J96,D117)</f>
        <v>514</v>
      </c>
      <c r="F117" s="486">
        <f t="shared" si="31"/>
        <v>13970.5</v>
      </c>
      <c r="G117" s="486">
        <f t="shared" si="32"/>
        <v>14227.5</v>
      </c>
      <c r="H117" s="487">
        <f t="shared" si="35"/>
        <v>2154.3916347140012</v>
      </c>
      <c r="I117" s="543">
        <f t="shared" si="36"/>
        <v>2154.3916347140012</v>
      </c>
      <c r="J117" s="479">
        <f t="shared" si="28"/>
        <v>0</v>
      </c>
      <c r="K117" s="479"/>
      <c r="L117" s="488"/>
      <c r="M117" s="479">
        <f t="shared" si="34"/>
        <v>0</v>
      </c>
      <c r="N117" s="488"/>
      <c r="O117" s="479">
        <f t="shared" si="29"/>
        <v>0</v>
      </c>
      <c r="P117" s="479">
        <f t="shared" si="30"/>
        <v>0</v>
      </c>
    </row>
    <row r="118" spans="2:16" ht="12.5">
      <c r="B118" s="160" t="str">
        <f t="shared" si="27"/>
        <v/>
      </c>
      <c r="C118" s="473">
        <f>IF(D93="","-",+C117+1)</f>
        <v>2029</v>
      </c>
      <c r="D118" s="347">
        <f>IF(F117+SUM(E$101:E117)=D$92,F117,D$92-SUM(E$101:E117))</f>
        <v>13970.5</v>
      </c>
      <c r="E118" s="487">
        <f>IF(+J96&lt;F117,J96,D118)</f>
        <v>514</v>
      </c>
      <c r="F118" s="486">
        <f t="shared" si="31"/>
        <v>13456.5</v>
      </c>
      <c r="G118" s="486">
        <f t="shared" si="32"/>
        <v>13713.5</v>
      </c>
      <c r="H118" s="487">
        <f t="shared" si="35"/>
        <v>2095.1288478404822</v>
      </c>
      <c r="I118" s="543">
        <f t="shared" si="36"/>
        <v>2095.1288478404822</v>
      </c>
      <c r="J118" s="479">
        <f t="shared" si="28"/>
        <v>0</v>
      </c>
      <c r="K118" s="479"/>
      <c r="L118" s="488"/>
      <c r="M118" s="479">
        <f t="shared" si="34"/>
        <v>0</v>
      </c>
      <c r="N118" s="488"/>
      <c r="O118" s="479">
        <f t="shared" si="29"/>
        <v>0</v>
      </c>
      <c r="P118" s="479">
        <f t="shared" si="30"/>
        <v>0</v>
      </c>
    </row>
    <row r="119" spans="2:16" ht="12.5">
      <c r="B119" s="160" t="str">
        <f t="shared" si="27"/>
        <v/>
      </c>
      <c r="C119" s="473">
        <f>IF(D93="","-",+C118+1)</f>
        <v>2030</v>
      </c>
      <c r="D119" s="347">
        <f>IF(F118+SUM(E$101:E118)=D$92,F118,D$92-SUM(E$101:E118))</f>
        <v>13456.5</v>
      </c>
      <c r="E119" s="487">
        <f t="shared" ref="E119:E154" si="37">IF(+J$96&lt;F118,J$96,D119)</f>
        <v>514</v>
      </c>
      <c r="F119" s="486">
        <f t="shared" si="31"/>
        <v>12942.5</v>
      </c>
      <c r="G119" s="486">
        <f t="shared" si="32"/>
        <v>13199.5</v>
      </c>
      <c r="H119" s="487">
        <f t="shared" si="35"/>
        <v>2035.8660609669626</v>
      </c>
      <c r="I119" s="543">
        <f t="shared" si="36"/>
        <v>2035.8660609669626</v>
      </c>
      <c r="J119" s="479">
        <f t="shared" si="28"/>
        <v>0</v>
      </c>
      <c r="K119" s="479"/>
      <c r="L119" s="488"/>
      <c r="M119" s="479">
        <f t="shared" si="34"/>
        <v>0</v>
      </c>
      <c r="N119" s="488"/>
      <c r="O119" s="479">
        <f t="shared" si="29"/>
        <v>0</v>
      </c>
      <c r="P119" s="479">
        <f t="shared" si="30"/>
        <v>0</v>
      </c>
    </row>
    <row r="120" spans="2:16" ht="12.5">
      <c r="B120" s="160" t="str">
        <f t="shared" si="27"/>
        <v/>
      </c>
      <c r="C120" s="473">
        <f>IF(D93="","-",+C119+1)</f>
        <v>2031</v>
      </c>
      <c r="D120" s="347">
        <f>IF(F119+SUM(E$101:E119)=D$92,F119,D$92-SUM(E$101:E119))</f>
        <v>12942.5</v>
      </c>
      <c r="E120" s="487">
        <f t="shared" si="37"/>
        <v>514</v>
      </c>
      <c r="F120" s="486">
        <f t="shared" si="31"/>
        <v>12428.5</v>
      </c>
      <c r="G120" s="486">
        <f t="shared" si="32"/>
        <v>12685.5</v>
      </c>
      <c r="H120" s="487">
        <f t="shared" si="35"/>
        <v>1976.6032740934434</v>
      </c>
      <c r="I120" s="543">
        <f t="shared" si="36"/>
        <v>1976.6032740934434</v>
      </c>
      <c r="J120" s="479">
        <f t="shared" si="28"/>
        <v>0</v>
      </c>
      <c r="K120" s="479"/>
      <c r="L120" s="488"/>
      <c r="M120" s="479">
        <f t="shared" si="34"/>
        <v>0</v>
      </c>
      <c r="N120" s="488"/>
      <c r="O120" s="479">
        <f t="shared" si="29"/>
        <v>0</v>
      </c>
      <c r="P120" s="479">
        <f t="shared" si="30"/>
        <v>0</v>
      </c>
    </row>
    <row r="121" spans="2:16" ht="12.5">
      <c r="B121" s="160" t="str">
        <f t="shared" si="27"/>
        <v/>
      </c>
      <c r="C121" s="473">
        <f>IF(D93="","-",+C120+1)</f>
        <v>2032</v>
      </c>
      <c r="D121" s="347">
        <f>IF(F120+SUM(E$101:E120)=D$92,F120,D$92-SUM(E$101:E120))</f>
        <v>12428.5</v>
      </c>
      <c r="E121" s="487">
        <f t="shared" si="37"/>
        <v>514</v>
      </c>
      <c r="F121" s="486">
        <f t="shared" si="31"/>
        <v>11914.5</v>
      </c>
      <c r="G121" s="486">
        <f t="shared" si="32"/>
        <v>12171.5</v>
      </c>
      <c r="H121" s="487">
        <f t="shared" si="35"/>
        <v>1917.3404872199239</v>
      </c>
      <c r="I121" s="543">
        <f t="shared" si="36"/>
        <v>1917.3404872199239</v>
      </c>
      <c r="J121" s="479">
        <f t="shared" si="28"/>
        <v>0</v>
      </c>
      <c r="K121" s="479"/>
      <c r="L121" s="488"/>
      <c r="M121" s="479">
        <f t="shared" si="34"/>
        <v>0</v>
      </c>
      <c r="N121" s="488"/>
      <c r="O121" s="479">
        <f t="shared" si="29"/>
        <v>0</v>
      </c>
      <c r="P121" s="479">
        <f t="shared" si="30"/>
        <v>0</v>
      </c>
    </row>
    <row r="122" spans="2:16" ht="12.5">
      <c r="B122" s="160" t="str">
        <f t="shared" si="27"/>
        <v/>
      </c>
      <c r="C122" s="473">
        <f>IF(D93="","-",+C121+1)</f>
        <v>2033</v>
      </c>
      <c r="D122" s="347">
        <f>IF(F121+SUM(E$101:E121)=D$92,F121,D$92-SUM(E$101:E121))</f>
        <v>11914.5</v>
      </c>
      <c r="E122" s="487">
        <f t="shared" si="37"/>
        <v>514</v>
      </c>
      <c r="F122" s="486">
        <f t="shared" si="31"/>
        <v>11400.5</v>
      </c>
      <c r="G122" s="486">
        <f t="shared" si="32"/>
        <v>11657.5</v>
      </c>
      <c r="H122" s="487">
        <f t="shared" si="35"/>
        <v>1858.0777003464045</v>
      </c>
      <c r="I122" s="543">
        <f t="shared" si="36"/>
        <v>1858.0777003464045</v>
      </c>
      <c r="J122" s="479">
        <f t="shared" si="28"/>
        <v>0</v>
      </c>
      <c r="K122" s="479"/>
      <c r="L122" s="488"/>
      <c r="M122" s="479">
        <f t="shared" si="34"/>
        <v>0</v>
      </c>
      <c r="N122" s="488"/>
      <c r="O122" s="479">
        <f t="shared" si="29"/>
        <v>0</v>
      </c>
      <c r="P122" s="479">
        <f t="shared" si="30"/>
        <v>0</v>
      </c>
    </row>
    <row r="123" spans="2:16" ht="12.5">
      <c r="B123" s="160" t="str">
        <f t="shared" si="27"/>
        <v/>
      </c>
      <c r="C123" s="473">
        <f>IF(D93="","-",+C122+1)</f>
        <v>2034</v>
      </c>
      <c r="D123" s="347">
        <f>IF(F122+SUM(E$101:E122)=D$92,F122,D$92-SUM(E$101:E122))</f>
        <v>11400.5</v>
      </c>
      <c r="E123" s="487">
        <f t="shared" si="37"/>
        <v>514</v>
      </c>
      <c r="F123" s="486">
        <f t="shared" si="31"/>
        <v>10886.5</v>
      </c>
      <c r="G123" s="486">
        <f t="shared" si="32"/>
        <v>11143.5</v>
      </c>
      <c r="H123" s="487">
        <f t="shared" si="35"/>
        <v>1798.8149134728851</v>
      </c>
      <c r="I123" s="543">
        <f t="shared" si="36"/>
        <v>1798.8149134728851</v>
      </c>
      <c r="J123" s="479">
        <f t="shared" si="28"/>
        <v>0</v>
      </c>
      <c r="K123" s="479"/>
      <c r="L123" s="488"/>
      <c r="M123" s="479">
        <f t="shared" si="34"/>
        <v>0</v>
      </c>
      <c r="N123" s="488"/>
      <c r="O123" s="479">
        <f t="shared" si="29"/>
        <v>0</v>
      </c>
      <c r="P123" s="479">
        <f t="shared" si="30"/>
        <v>0</v>
      </c>
    </row>
    <row r="124" spans="2:16" ht="12.5">
      <c r="B124" s="160" t="str">
        <f t="shared" si="27"/>
        <v/>
      </c>
      <c r="C124" s="473">
        <f>IF(D93="","-",+C123+1)</f>
        <v>2035</v>
      </c>
      <c r="D124" s="347">
        <f>IF(F123+SUM(E$101:E123)=D$92,F123,D$92-SUM(E$101:E123))</f>
        <v>10886.5</v>
      </c>
      <c r="E124" s="487">
        <f t="shared" si="37"/>
        <v>514</v>
      </c>
      <c r="F124" s="486">
        <f t="shared" si="31"/>
        <v>10372.5</v>
      </c>
      <c r="G124" s="486">
        <f t="shared" si="32"/>
        <v>10629.5</v>
      </c>
      <c r="H124" s="487">
        <f t="shared" si="35"/>
        <v>1739.5521265993659</v>
      </c>
      <c r="I124" s="543">
        <f t="shared" si="36"/>
        <v>1739.5521265993659</v>
      </c>
      <c r="J124" s="479">
        <f t="shared" si="28"/>
        <v>0</v>
      </c>
      <c r="K124" s="479"/>
      <c r="L124" s="488"/>
      <c r="M124" s="479">
        <f t="shared" si="34"/>
        <v>0</v>
      </c>
      <c r="N124" s="488"/>
      <c r="O124" s="479">
        <f t="shared" si="29"/>
        <v>0</v>
      </c>
      <c r="P124" s="479">
        <f t="shared" si="30"/>
        <v>0</v>
      </c>
    </row>
    <row r="125" spans="2:16" ht="12.5">
      <c r="B125" s="160" t="str">
        <f t="shared" si="27"/>
        <v/>
      </c>
      <c r="C125" s="473">
        <f>IF(D93="","-",+C124+1)</f>
        <v>2036</v>
      </c>
      <c r="D125" s="347">
        <f>IF(F124+SUM(E$101:E124)=D$92,F124,D$92-SUM(E$101:E124))</f>
        <v>10372.5</v>
      </c>
      <c r="E125" s="487">
        <f t="shared" si="37"/>
        <v>514</v>
      </c>
      <c r="F125" s="486">
        <f t="shared" si="31"/>
        <v>9858.5</v>
      </c>
      <c r="G125" s="486">
        <f t="shared" si="32"/>
        <v>10115.5</v>
      </c>
      <c r="H125" s="487">
        <f t="shared" si="35"/>
        <v>1680.2893397258465</v>
      </c>
      <c r="I125" s="543">
        <f t="shared" si="36"/>
        <v>1680.2893397258465</v>
      </c>
      <c r="J125" s="479">
        <f t="shared" si="28"/>
        <v>0</v>
      </c>
      <c r="K125" s="479"/>
      <c r="L125" s="488"/>
      <c r="M125" s="479">
        <f t="shared" si="34"/>
        <v>0</v>
      </c>
      <c r="N125" s="488"/>
      <c r="O125" s="479">
        <f t="shared" si="29"/>
        <v>0</v>
      </c>
      <c r="P125" s="479">
        <f t="shared" si="30"/>
        <v>0</v>
      </c>
    </row>
    <row r="126" spans="2:16" ht="12.5">
      <c r="B126" s="160" t="str">
        <f t="shared" si="27"/>
        <v/>
      </c>
      <c r="C126" s="473">
        <f>IF(D93="","-",+C125+1)</f>
        <v>2037</v>
      </c>
      <c r="D126" s="347">
        <f>IF(F125+SUM(E$101:E125)=D$92,F125,D$92-SUM(E$101:E125))</f>
        <v>9858.5</v>
      </c>
      <c r="E126" s="487">
        <f t="shared" si="37"/>
        <v>514</v>
      </c>
      <c r="F126" s="486">
        <f t="shared" si="31"/>
        <v>9344.5</v>
      </c>
      <c r="G126" s="486">
        <f t="shared" si="32"/>
        <v>9601.5</v>
      </c>
      <c r="H126" s="487">
        <f t="shared" si="35"/>
        <v>1621.0265528523271</v>
      </c>
      <c r="I126" s="543">
        <f t="shared" si="36"/>
        <v>1621.0265528523271</v>
      </c>
      <c r="J126" s="479">
        <f t="shared" si="28"/>
        <v>0</v>
      </c>
      <c r="K126" s="479"/>
      <c r="L126" s="488"/>
      <c r="M126" s="479">
        <f t="shared" si="34"/>
        <v>0</v>
      </c>
      <c r="N126" s="488"/>
      <c r="O126" s="479">
        <f t="shared" si="29"/>
        <v>0</v>
      </c>
      <c r="P126" s="479">
        <f t="shared" si="30"/>
        <v>0</v>
      </c>
    </row>
    <row r="127" spans="2:16" ht="12.5">
      <c r="B127" s="160" t="str">
        <f t="shared" si="27"/>
        <v/>
      </c>
      <c r="C127" s="473">
        <f>IF(D93="","-",+C126+1)</f>
        <v>2038</v>
      </c>
      <c r="D127" s="347">
        <f>IF(F126+SUM(E$101:E126)=D$92,F126,D$92-SUM(E$101:E126))</f>
        <v>9344.5</v>
      </c>
      <c r="E127" s="487">
        <f t="shared" si="37"/>
        <v>514</v>
      </c>
      <c r="F127" s="486">
        <f t="shared" si="31"/>
        <v>8830.5</v>
      </c>
      <c r="G127" s="486">
        <f t="shared" si="32"/>
        <v>9087.5</v>
      </c>
      <c r="H127" s="487">
        <f t="shared" si="35"/>
        <v>1561.7637659788077</v>
      </c>
      <c r="I127" s="543">
        <f t="shared" si="36"/>
        <v>1561.7637659788077</v>
      </c>
      <c r="J127" s="479">
        <f t="shared" si="28"/>
        <v>0</v>
      </c>
      <c r="K127" s="479"/>
      <c r="L127" s="488"/>
      <c r="M127" s="479">
        <f t="shared" si="34"/>
        <v>0</v>
      </c>
      <c r="N127" s="488"/>
      <c r="O127" s="479">
        <f t="shared" si="29"/>
        <v>0</v>
      </c>
      <c r="P127" s="479">
        <f t="shared" si="30"/>
        <v>0</v>
      </c>
    </row>
    <row r="128" spans="2:16" ht="12.5">
      <c r="B128" s="160" t="str">
        <f t="shared" si="27"/>
        <v/>
      </c>
      <c r="C128" s="473">
        <f>IF(D93="","-",+C127+1)</f>
        <v>2039</v>
      </c>
      <c r="D128" s="347">
        <f>IF(F127+SUM(E$101:E127)=D$92,F127,D$92-SUM(E$101:E127))</f>
        <v>8830.5</v>
      </c>
      <c r="E128" s="487">
        <f t="shared" si="37"/>
        <v>514</v>
      </c>
      <c r="F128" s="486">
        <f t="shared" si="31"/>
        <v>8316.5</v>
      </c>
      <c r="G128" s="486">
        <f t="shared" si="32"/>
        <v>8573.5</v>
      </c>
      <c r="H128" s="487">
        <f t="shared" si="35"/>
        <v>1502.5009791052885</v>
      </c>
      <c r="I128" s="543">
        <f t="shared" si="36"/>
        <v>1502.5009791052885</v>
      </c>
      <c r="J128" s="479">
        <f t="shared" si="28"/>
        <v>0</v>
      </c>
      <c r="K128" s="479"/>
      <c r="L128" s="488"/>
      <c r="M128" s="479">
        <f t="shared" si="34"/>
        <v>0</v>
      </c>
      <c r="N128" s="488"/>
      <c r="O128" s="479">
        <f t="shared" si="29"/>
        <v>0</v>
      </c>
      <c r="P128" s="479">
        <f t="shared" si="30"/>
        <v>0</v>
      </c>
    </row>
    <row r="129" spans="2:16" ht="12.5">
      <c r="B129" s="160" t="str">
        <f t="shared" si="27"/>
        <v/>
      </c>
      <c r="C129" s="473">
        <f>IF(D93="","-",+C128+1)</f>
        <v>2040</v>
      </c>
      <c r="D129" s="347">
        <f>IF(F128+SUM(E$101:E128)=D$92,F128,D$92-SUM(E$101:E128))</f>
        <v>8316.5</v>
      </c>
      <c r="E129" s="487">
        <f t="shared" si="37"/>
        <v>514</v>
      </c>
      <c r="F129" s="486">
        <f t="shared" si="31"/>
        <v>7802.5</v>
      </c>
      <c r="G129" s="486">
        <f t="shared" si="32"/>
        <v>8059.5</v>
      </c>
      <c r="H129" s="487">
        <f t="shared" si="35"/>
        <v>1443.2381922317691</v>
      </c>
      <c r="I129" s="543">
        <f t="shared" si="36"/>
        <v>1443.2381922317691</v>
      </c>
      <c r="J129" s="479">
        <f t="shared" si="28"/>
        <v>0</v>
      </c>
      <c r="K129" s="479"/>
      <c r="L129" s="488"/>
      <c r="M129" s="479">
        <f t="shared" si="34"/>
        <v>0</v>
      </c>
      <c r="N129" s="488"/>
      <c r="O129" s="479">
        <f t="shared" si="29"/>
        <v>0</v>
      </c>
      <c r="P129" s="479">
        <f t="shared" si="30"/>
        <v>0</v>
      </c>
    </row>
    <row r="130" spans="2:16" ht="12.5">
      <c r="B130" s="160" t="str">
        <f t="shared" si="27"/>
        <v/>
      </c>
      <c r="C130" s="473">
        <f>IF(D93="","-",+C129+1)</f>
        <v>2041</v>
      </c>
      <c r="D130" s="347">
        <f>IF(F129+SUM(E$101:E129)=D$92,F129,D$92-SUM(E$101:E129))</f>
        <v>7802.5</v>
      </c>
      <c r="E130" s="487">
        <f t="shared" si="37"/>
        <v>514</v>
      </c>
      <c r="F130" s="486">
        <f t="shared" si="31"/>
        <v>7288.5</v>
      </c>
      <c r="G130" s="486">
        <f t="shared" si="32"/>
        <v>7545.5</v>
      </c>
      <c r="H130" s="487">
        <f t="shared" si="35"/>
        <v>1383.9754053582496</v>
      </c>
      <c r="I130" s="543">
        <f t="shared" si="36"/>
        <v>1383.9754053582496</v>
      </c>
      <c r="J130" s="479">
        <f t="shared" si="28"/>
        <v>0</v>
      </c>
      <c r="K130" s="479"/>
      <c r="L130" s="488"/>
      <c r="M130" s="479">
        <f t="shared" si="34"/>
        <v>0</v>
      </c>
      <c r="N130" s="488"/>
      <c r="O130" s="479">
        <f t="shared" si="29"/>
        <v>0</v>
      </c>
      <c r="P130" s="479">
        <f t="shared" si="30"/>
        <v>0</v>
      </c>
    </row>
    <row r="131" spans="2:16" ht="12.5">
      <c r="B131" s="160" t="str">
        <f t="shared" si="27"/>
        <v/>
      </c>
      <c r="C131" s="473">
        <f>IF(D93="","-",+C130+1)</f>
        <v>2042</v>
      </c>
      <c r="D131" s="347">
        <f>IF(F130+SUM(E$101:E130)=D$92,F130,D$92-SUM(E$101:E130))</f>
        <v>7288.5</v>
      </c>
      <c r="E131" s="487">
        <f t="shared" si="37"/>
        <v>514</v>
      </c>
      <c r="F131" s="486">
        <f t="shared" si="31"/>
        <v>6774.5</v>
      </c>
      <c r="G131" s="486">
        <f t="shared" si="32"/>
        <v>7031.5</v>
      </c>
      <c r="H131" s="487">
        <f t="shared" si="35"/>
        <v>1324.7126184847302</v>
      </c>
      <c r="I131" s="543">
        <f t="shared" si="36"/>
        <v>1324.7126184847302</v>
      </c>
      <c r="J131" s="479">
        <f t="shared" si="28"/>
        <v>0</v>
      </c>
      <c r="K131" s="479"/>
      <c r="L131" s="488"/>
      <c r="M131" s="479">
        <f t="shared" ref="M131:M154" si="38">IF(L541&lt;&gt;0,+H541-L541,0)</f>
        <v>0</v>
      </c>
      <c r="N131" s="488"/>
      <c r="O131" s="479">
        <f t="shared" ref="O131:O154" si="39">IF(N541&lt;&gt;0,+I541-N541,0)</f>
        <v>0</v>
      </c>
      <c r="P131" s="479">
        <f t="shared" ref="P131:P154" si="40">+O541-M541</f>
        <v>0</v>
      </c>
    </row>
    <row r="132" spans="2:16" ht="12.5">
      <c r="B132" s="160" t="str">
        <f t="shared" si="27"/>
        <v/>
      </c>
      <c r="C132" s="473">
        <f>IF(D93="","-",+C131+1)</f>
        <v>2043</v>
      </c>
      <c r="D132" s="347">
        <f>IF(F131+SUM(E$101:E131)=D$92,F131,D$92-SUM(E$101:E131))</f>
        <v>6774.5</v>
      </c>
      <c r="E132" s="487">
        <f t="shared" si="37"/>
        <v>514</v>
      </c>
      <c r="F132" s="486">
        <f t="shared" si="31"/>
        <v>6260.5</v>
      </c>
      <c r="G132" s="486">
        <f t="shared" si="32"/>
        <v>6517.5</v>
      </c>
      <c r="H132" s="487">
        <f t="shared" si="35"/>
        <v>1265.4498316112108</v>
      </c>
      <c r="I132" s="543">
        <f t="shared" si="36"/>
        <v>1265.4498316112108</v>
      </c>
      <c r="J132" s="479">
        <f t="shared" si="28"/>
        <v>0</v>
      </c>
      <c r="K132" s="479"/>
      <c r="L132" s="488"/>
      <c r="M132" s="479">
        <f t="shared" si="38"/>
        <v>0</v>
      </c>
      <c r="N132" s="488"/>
      <c r="O132" s="479">
        <f t="shared" si="39"/>
        <v>0</v>
      </c>
      <c r="P132" s="479">
        <f t="shared" si="40"/>
        <v>0</v>
      </c>
    </row>
    <row r="133" spans="2:16" ht="12.5">
      <c r="B133" s="160" t="str">
        <f t="shared" si="27"/>
        <v/>
      </c>
      <c r="C133" s="473">
        <f>IF(D93="","-",+C132+1)</f>
        <v>2044</v>
      </c>
      <c r="D133" s="347">
        <f>IF(F132+SUM(E$101:E132)=D$92,F132,D$92-SUM(E$101:E132))</f>
        <v>6260.5</v>
      </c>
      <c r="E133" s="487">
        <f t="shared" si="37"/>
        <v>514</v>
      </c>
      <c r="F133" s="486">
        <f t="shared" si="31"/>
        <v>5746.5</v>
      </c>
      <c r="G133" s="486">
        <f t="shared" ref="G133:G154" si="41">+(F133+D133)/2</f>
        <v>6003.5</v>
      </c>
      <c r="H133" s="487">
        <f t="shared" si="35"/>
        <v>1206.1870447376916</v>
      </c>
      <c r="I133" s="543">
        <f t="shared" si="36"/>
        <v>1206.1870447376916</v>
      </c>
      <c r="J133" s="479">
        <f t="shared" ref="J133:J154" si="42">+I541-H541</f>
        <v>0</v>
      </c>
      <c r="K133" s="479"/>
      <c r="L133" s="488"/>
      <c r="M133" s="479">
        <f t="shared" si="38"/>
        <v>0</v>
      </c>
      <c r="N133" s="488"/>
      <c r="O133" s="479">
        <f t="shared" si="39"/>
        <v>0</v>
      </c>
      <c r="P133" s="479">
        <f t="shared" si="40"/>
        <v>0</v>
      </c>
    </row>
    <row r="134" spans="2:16" ht="12.5">
      <c r="B134" s="160" t="str">
        <f t="shared" ref="B134:B154" si="43">IF(D134=F133,"","IU")</f>
        <v/>
      </c>
      <c r="C134" s="473">
        <f>IF(D93="","-",+C133+1)</f>
        <v>2045</v>
      </c>
      <c r="D134" s="347">
        <f>IF(F133+SUM(E$101:E133)=D$92,F133,D$92-SUM(E$101:E133))</f>
        <v>5746.5</v>
      </c>
      <c r="E134" s="487">
        <f t="shared" si="37"/>
        <v>514</v>
      </c>
      <c r="F134" s="486">
        <f t="shared" ref="F134:F154" si="44">+D134-E134</f>
        <v>5232.5</v>
      </c>
      <c r="G134" s="486">
        <f t="shared" si="41"/>
        <v>5489.5</v>
      </c>
      <c r="H134" s="487">
        <f t="shared" si="35"/>
        <v>1146.9242578641722</v>
      </c>
      <c r="I134" s="543">
        <f t="shared" si="36"/>
        <v>1146.9242578641722</v>
      </c>
      <c r="J134" s="479">
        <f t="shared" si="42"/>
        <v>0</v>
      </c>
      <c r="K134" s="479"/>
      <c r="L134" s="488"/>
      <c r="M134" s="479">
        <f t="shared" si="38"/>
        <v>0</v>
      </c>
      <c r="N134" s="488"/>
      <c r="O134" s="479">
        <f t="shared" si="39"/>
        <v>0</v>
      </c>
      <c r="P134" s="479">
        <f t="shared" si="40"/>
        <v>0</v>
      </c>
    </row>
    <row r="135" spans="2:16" ht="12.5">
      <c r="B135" s="160" t="str">
        <f t="shared" si="43"/>
        <v/>
      </c>
      <c r="C135" s="473">
        <f>IF(D93="","-",+C134+1)</f>
        <v>2046</v>
      </c>
      <c r="D135" s="347">
        <f>IF(F134+SUM(E$101:E134)=D$92,F134,D$92-SUM(E$101:E134))</f>
        <v>5232.5</v>
      </c>
      <c r="E135" s="487">
        <f t="shared" si="37"/>
        <v>514</v>
      </c>
      <c r="F135" s="486">
        <f t="shared" si="44"/>
        <v>4718.5</v>
      </c>
      <c r="G135" s="486">
        <f t="shared" si="41"/>
        <v>4975.5</v>
      </c>
      <c r="H135" s="487">
        <f t="shared" si="35"/>
        <v>1087.661470990653</v>
      </c>
      <c r="I135" s="543">
        <f t="shared" si="36"/>
        <v>1087.661470990653</v>
      </c>
      <c r="J135" s="479">
        <f t="shared" si="42"/>
        <v>0</v>
      </c>
      <c r="K135" s="479"/>
      <c r="L135" s="488"/>
      <c r="M135" s="479">
        <f t="shared" si="38"/>
        <v>0</v>
      </c>
      <c r="N135" s="488"/>
      <c r="O135" s="479">
        <f t="shared" si="39"/>
        <v>0</v>
      </c>
      <c r="P135" s="479">
        <f t="shared" si="40"/>
        <v>0</v>
      </c>
    </row>
    <row r="136" spans="2:16" ht="12.5">
      <c r="B136" s="160" t="str">
        <f t="shared" si="43"/>
        <v/>
      </c>
      <c r="C136" s="473">
        <f>IF(D93="","-",+C135+1)</f>
        <v>2047</v>
      </c>
      <c r="D136" s="347">
        <f>IF(F135+SUM(E$101:E135)=D$92,F135,D$92-SUM(E$101:E135))</f>
        <v>4718.5</v>
      </c>
      <c r="E136" s="487">
        <f t="shared" si="37"/>
        <v>514</v>
      </c>
      <c r="F136" s="486">
        <f t="shared" si="44"/>
        <v>4204.5</v>
      </c>
      <c r="G136" s="486">
        <f t="shared" si="41"/>
        <v>4461.5</v>
      </c>
      <c r="H136" s="487">
        <f t="shared" si="35"/>
        <v>1028.3986841171336</v>
      </c>
      <c r="I136" s="543">
        <f t="shared" si="36"/>
        <v>1028.3986841171336</v>
      </c>
      <c r="J136" s="479">
        <f t="shared" si="42"/>
        <v>0</v>
      </c>
      <c r="K136" s="479"/>
      <c r="L136" s="488"/>
      <c r="M136" s="479">
        <f t="shared" si="38"/>
        <v>0</v>
      </c>
      <c r="N136" s="488"/>
      <c r="O136" s="479">
        <f t="shared" si="39"/>
        <v>0</v>
      </c>
      <c r="P136" s="479">
        <f t="shared" si="40"/>
        <v>0</v>
      </c>
    </row>
    <row r="137" spans="2:16" ht="12.5">
      <c r="B137" s="160" t="str">
        <f t="shared" si="43"/>
        <v/>
      </c>
      <c r="C137" s="473">
        <f>IF(D93="","-",+C136+1)</f>
        <v>2048</v>
      </c>
      <c r="D137" s="347">
        <f>IF(F136+SUM(E$101:E136)=D$92,F136,D$92-SUM(E$101:E136))</f>
        <v>4204.5</v>
      </c>
      <c r="E137" s="487">
        <f t="shared" si="37"/>
        <v>514</v>
      </c>
      <c r="F137" s="486">
        <f t="shared" si="44"/>
        <v>3690.5</v>
      </c>
      <c r="G137" s="486">
        <f t="shared" si="41"/>
        <v>3947.5</v>
      </c>
      <c r="H137" s="487">
        <f t="shared" si="35"/>
        <v>969.13589724361418</v>
      </c>
      <c r="I137" s="543">
        <f t="shared" si="36"/>
        <v>969.13589724361418</v>
      </c>
      <c r="J137" s="479">
        <f t="shared" si="42"/>
        <v>0</v>
      </c>
      <c r="K137" s="479"/>
      <c r="L137" s="488"/>
      <c r="M137" s="479">
        <f t="shared" si="38"/>
        <v>0</v>
      </c>
      <c r="N137" s="488"/>
      <c r="O137" s="479">
        <f t="shared" si="39"/>
        <v>0</v>
      </c>
      <c r="P137" s="479">
        <f t="shared" si="40"/>
        <v>0</v>
      </c>
    </row>
    <row r="138" spans="2:16" ht="12.5">
      <c r="B138" s="160" t="str">
        <f t="shared" si="43"/>
        <v/>
      </c>
      <c r="C138" s="473">
        <f>IF(D93="","-",+C137+1)</f>
        <v>2049</v>
      </c>
      <c r="D138" s="347">
        <f>IF(F137+SUM(E$101:E137)=D$92,F137,D$92-SUM(E$101:E137))</f>
        <v>3690.5</v>
      </c>
      <c r="E138" s="487">
        <f t="shared" si="37"/>
        <v>514</v>
      </c>
      <c r="F138" s="486">
        <f t="shared" si="44"/>
        <v>3176.5</v>
      </c>
      <c r="G138" s="486">
        <f t="shared" si="41"/>
        <v>3433.5</v>
      </c>
      <c r="H138" s="487">
        <f t="shared" si="35"/>
        <v>909.87311037009476</v>
      </c>
      <c r="I138" s="543">
        <f t="shared" si="36"/>
        <v>909.87311037009476</v>
      </c>
      <c r="J138" s="479">
        <f t="shared" si="42"/>
        <v>0</v>
      </c>
      <c r="K138" s="479"/>
      <c r="L138" s="488"/>
      <c r="M138" s="479">
        <f t="shared" si="38"/>
        <v>0</v>
      </c>
      <c r="N138" s="488"/>
      <c r="O138" s="479">
        <f t="shared" si="39"/>
        <v>0</v>
      </c>
      <c r="P138" s="479">
        <f t="shared" si="40"/>
        <v>0</v>
      </c>
    </row>
    <row r="139" spans="2:16" ht="12.5">
      <c r="B139" s="160" t="str">
        <f t="shared" si="43"/>
        <v/>
      </c>
      <c r="C139" s="473">
        <f>IF(D93="","-",+C138+1)</f>
        <v>2050</v>
      </c>
      <c r="D139" s="347">
        <f>IF(F138+SUM(E$101:E138)=D$92,F138,D$92-SUM(E$101:E138))</f>
        <v>3176.5</v>
      </c>
      <c r="E139" s="487">
        <f t="shared" si="37"/>
        <v>514</v>
      </c>
      <c r="F139" s="486">
        <f t="shared" si="44"/>
        <v>2662.5</v>
      </c>
      <c r="G139" s="486">
        <f t="shared" si="41"/>
        <v>2919.5</v>
      </c>
      <c r="H139" s="487">
        <f t="shared" si="35"/>
        <v>850.61032349657546</v>
      </c>
      <c r="I139" s="543">
        <f t="shared" si="36"/>
        <v>850.61032349657546</v>
      </c>
      <c r="J139" s="479">
        <f t="shared" si="42"/>
        <v>0</v>
      </c>
      <c r="K139" s="479"/>
      <c r="L139" s="488"/>
      <c r="M139" s="479">
        <f t="shared" si="38"/>
        <v>0</v>
      </c>
      <c r="N139" s="488"/>
      <c r="O139" s="479">
        <f t="shared" si="39"/>
        <v>0</v>
      </c>
      <c r="P139" s="479">
        <f t="shared" si="40"/>
        <v>0</v>
      </c>
    </row>
    <row r="140" spans="2:16" ht="12.5">
      <c r="B140" s="160" t="str">
        <f t="shared" si="43"/>
        <v/>
      </c>
      <c r="C140" s="473">
        <f>IF(D93="","-",+C139+1)</f>
        <v>2051</v>
      </c>
      <c r="D140" s="347">
        <f>IF(F139+SUM(E$101:E139)=D$92,F139,D$92-SUM(E$101:E139))</f>
        <v>2662.5</v>
      </c>
      <c r="E140" s="487">
        <f t="shared" si="37"/>
        <v>514</v>
      </c>
      <c r="F140" s="486">
        <f t="shared" si="44"/>
        <v>2148.5</v>
      </c>
      <c r="G140" s="486">
        <f t="shared" si="41"/>
        <v>2405.5</v>
      </c>
      <c r="H140" s="487">
        <f t="shared" si="35"/>
        <v>791.34753662305616</v>
      </c>
      <c r="I140" s="543">
        <f t="shared" si="36"/>
        <v>791.34753662305616</v>
      </c>
      <c r="J140" s="479">
        <f t="shared" si="42"/>
        <v>0</v>
      </c>
      <c r="K140" s="479"/>
      <c r="L140" s="488"/>
      <c r="M140" s="479">
        <f t="shared" si="38"/>
        <v>0</v>
      </c>
      <c r="N140" s="488"/>
      <c r="O140" s="479">
        <f t="shared" si="39"/>
        <v>0</v>
      </c>
      <c r="P140" s="479">
        <f t="shared" si="40"/>
        <v>0</v>
      </c>
    </row>
    <row r="141" spans="2:16" ht="12.5">
      <c r="B141" s="160" t="str">
        <f t="shared" si="43"/>
        <v/>
      </c>
      <c r="C141" s="473">
        <f>IF(D93="","-",+C140+1)</f>
        <v>2052</v>
      </c>
      <c r="D141" s="347">
        <f>IF(F140+SUM(E$101:E140)=D$92,F140,D$92-SUM(E$101:E140))</f>
        <v>2148.5</v>
      </c>
      <c r="E141" s="487">
        <f t="shared" si="37"/>
        <v>514</v>
      </c>
      <c r="F141" s="486">
        <f t="shared" si="44"/>
        <v>1634.5</v>
      </c>
      <c r="G141" s="486">
        <f t="shared" si="41"/>
        <v>1891.5</v>
      </c>
      <c r="H141" s="487">
        <f t="shared" si="35"/>
        <v>732.08474974953674</v>
      </c>
      <c r="I141" s="543">
        <f t="shared" si="36"/>
        <v>732.08474974953674</v>
      </c>
      <c r="J141" s="479">
        <f t="shared" si="42"/>
        <v>0</v>
      </c>
      <c r="K141" s="479"/>
      <c r="L141" s="488"/>
      <c r="M141" s="479">
        <f t="shared" si="38"/>
        <v>0</v>
      </c>
      <c r="N141" s="488"/>
      <c r="O141" s="479">
        <f t="shared" si="39"/>
        <v>0</v>
      </c>
      <c r="P141" s="479">
        <f t="shared" si="40"/>
        <v>0</v>
      </c>
    </row>
    <row r="142" spans="2:16" ht="12.5">
      <c r="B142" s="160" t="str">
        <f t="shared" si="43"/>
        <v/>
      </c>
      <c r="C142" s="473">
        <f>IF(D93="","-",+C141+1)</f>
        <v>2053</v>
      </c>
      <c r="D142" s="347">
        <f>IF(F141+SUM(E$101:E141)=D$92,F141,D$92-SUM(E$101:E141))</f>
        <v>1634.5</v>
      </c>
      <c r="E142" s="487">
        <f t="shared" si="37"/>
        <v>514</v>
      </c>
      <c r="F142" s="486">
        <f t="shared" si="44"/>
        <v>1120.5</v>
      </c>
      <c r="G142" s="486">
        <f t="shared" si="41"/>
        <v>1377.5</v>
      </c>
      <c r="H142" s="487">
        <f t="shared" si="35"/>
        <v>672.82196287601732</v>
      </c>
      <c r="I142" s="543">
        <f t="shared" si="36"/>
        <v>672.82196287601732</v>
      </c>
      <c r="J142" s="479">
        <f t="shared" si="42"/>
        <v>0</v>
      </c>
      <c r="K142" s="479"/>
      <c r="L142" s="488"/>
      <c r="M142" s="479">
        <f t="shared" si="38"/>
        <v>0</v>
      </c>
      <c r="N142" s="488"/>
      <c r="O142" s="479">
        <f t="shared" si="39"/>
        <v>0</v>
      </c>
      <c r="P142" s="479">
        <f t="shared" si="40"/>
        <v>0</v>
      </c>
    </row>
    <row r="143" spans="2:16" ht="12.5">
      <c r="B143" s="160" t="str">
        <f t="shared" si="43"/>
        <v/>
      </c>
      <c r="C143" s="473">
        <f>IF(D93="","-",+C142+1)</f>
        <v>2054</v>
      </c>
      <c r="D143" s="347">
        <f>IF(F142+SUM(E$101:E142)=D$92,F142,D$92-SUM(E$101:E142))</f>
        <v>1120.5</v>
      </c>
      <c r="E143" s="487">
        <f t="shared" si="37"/>
        <v>514</v>
      </c>
      <c r="F143" s="486">
        <f t="shared" si="44"/>
        <v>606.5</v>
      </c>
      <c r="G143" s="486">
        <f t="shared" si="41"/>
        <v>863.5</v>
      </c>
      <c r="H143" s="487">
        <f t="shared" si="35"/>
        <v>613.55917600249802</v>
      </c>
      <c r="I143" s="543">
        <f t="shared" si="36"/>
        <v>613.55917600249802</v>
      </c>
      <c r="J143" s="479">
        <f t="shared" si="42"/>
        <v>0</v>
      </c>
      <c r="K143" s="479"/>
      <c r="L143" s="488"/>
      <c r="M143" s="479">
        <f t="shared" si="38"/>
        <v>0</v>
      </c>
      <c r="N143" s="488"/>
      <c r="O143" s="479">
        <f t="shared" si="39"/>
        <v>0</v>
      </c>
      <c r="P143" s="479">
        <f t="shared" si="40"/>
        <v>0</v>
      </c>
    </row>
    <row r="144" spans="2:16" ht="12.5">
      <c r="B144" s="160" t="str">
        <f t="shared" si="43"/>
        <v/>
      </c>
      <c r="C144" s="473">
        <f>IF(D93="","-",+C143+1)</f>
        <v>2055</v>
      </c>
      <c r="D144" s="347">
        <f>IF(F143+SUM(E$101:E143)=D$92,F143,D$92-SUM(E$101:E143))</f>
        <v>606.5</v>
      </c>
      <c r="E144" s="487">
        <f t="shared" si="37"/>
        <v>514</v>
      </c>
      <c r="F144" s="486">
        <f t="shared" si="44"/>
        <v>92.5</v>
      </c>
      <c r="G144" s="486">
        <f t="shared" si="41"/>
        <v>349.5</v>
      </c>
      <c r="H144" s="487">
        <f t="shared" si="35"/>
        <v>554.2963891289786</v>
      </c>
      <c r="I144" s="543">
        <f t="shared" si="36"/>
        <v>554.2963891289786</v>
      </c>
      <c r="J144" s="479">
        <f t="shared" si="42"/>
        <v>0</v>
      </c>
      <c r="K144" s="479"/>
      <c r="L144" s="488"/>
      <c r="M144" s="479">
        <f t="shared" si="38"/>
        <v>0</v>
      </c>
      <c r="N144" s="488"/>
      <c r="O144" s="479">
        <f t="shared" si="39"/>
        <v>0</v>
      </c>
      <c r="P144" s="479">
        <f t="shared" si="40"/>
        <v>0</v>
      </c>
    </row>
    <row r="145" spans="2:16" ht="12.5">
      <c r="B145" s="160" t="str">
        <f t="shared" si="43"/>
        <v/>
      </c>
      <c r="C145" s="473">
        <f>IF(D93="","-",+C144+1)</f>
        <v>2056</v>
      </c>
      <c r="D145" s="347">
        <f>IF(F144+SUM(E$101:E144)=D$92,F144,D$92-SUM(E$101:E144))</f>
        <v>92.5</v>
      </c>
      <c r="E145" s="487">
        <f t="shared" si="37"/>
        <v>92.5</v>
      </c>
      <c r="F145" s="486">
        <f t="shared" si="44"/>
        <v>0</v>
      </c>
      <c r="G145" s="486">
        <f t="shared" si="41"/>
        <v>46.25</v>
      </c>
      <c r="H145" s="487">
        <f t="shared" si="35"/>
        <v>97.832497846109476</v>
      </c>
      <c r="I145" s="543">
        <f t="shared" si="36"/>
        <v>97.832497846109476</v>
      </c>
      <c r="J145" s="479">
        <f t="shared" si="42"/>
        <v>0</v>
      </c>
      <c r="K145" s="479"/>
      <c r="L145" s="488"/>
      <c r="M145" s="479">
        <f t="shared" si="38"/>
        <v>0</v>
      </c>
      <c r="N145" s="488"/>
      <c r="O145" s="479">
        <f t="shared" si="39"/>
        <v>0</v>
      </c>
      <c r="P145" s="479">
        <f t="shared" si="40"/>
        <v>0</v>
      </c>
    </row>
    <row r="146" spans="2:16" ht="12.5">
      <c r="B146" s="160" t="str">
        <f t="shared" si="43"/>
        <v/>
      </c>
      <c r="C146" s="473">
        <f>IF(D93="","-",+C145+1)</f>
        <v>2057</v>
      </c>
      <c r="D146" s="347">
        <f>IF(F145+SUM(E$101:E145)=D$92,F145,D$92-SUM(E$101:E145))</f>
        <v>0</v>
      </c>
      <c r="E146" s="487">
        <f t="shared" si="37"/>
        <v>0</v>
      </c>
      <c r="F146" s="486">
        <f t="shared" si="44"/>
        <v>0</v>
      </c>
      <c r="G146" s="486">
        <f t="shared" si="41"/>
        <v>0</v>
      </c>
      <c r="H146" s="487">
        <f t="shared" si="35"/>
        <v>0</v>
      </c>
      <c r="I146" s="543">
        <f t="shared" si="36"/>
        <v>0</v>
      </c>
      <c r="J146" s="479">
        <f t="shared" si="42"/>
        <v>0</v>
      </c>
      <c r="K146" s="479"/>
      <c r="L146" s="488"/>
      <c r="M146" s="479">
        <f t="shared" si="38"/>
        <v>0</v>
      </c>
      <c r="N146" s="488"/>
      <c r="O146" s="479">
        <f t="shared" si="39"/>
        <v>0</v>
      </c>
      <c r="P146" s="479">
        <f t="shared" si="40"/>
        <v>0</v>
      </c>
    </row>
    <row r="147" spans="2:16" ht="12.5">
      <c r="B147" s="160" t="str">
        <f t="shared" si="43"/>
        <v/>
      </c>
      <c r="C147" s="473">
        <f>IF(D93="","-",+C146+1)</f>
        <v>2058</v>
      </c>
      <c r="D147" s="347">
        <f>IF(F146+SUM(E$101:E146)=D$92,F146,D$92-SUM(E$101:E146))</f>
        <v>0</v>
      </c>
      <c r="E147" s="487">
        <f t="shared" si="37"/>
        <v>0</v>
      </c>
      <c r="F147" s="486">
        <f t="shared" si="44"/>
        <v>0</v>
      </c>
      <c r="G147" s="486">
        <f t="shared" si="41"/>
        <v>0</v>
      </c>
      <c r="H147" s="487">
        <f t="shared" si="35"/>
        <v>0</v>
      </c>
      <c r="I147" s="543">
        <f t="shared" si="36"/>
        <v>0</v>
      </c>
      <c r="J147" s="479">
        <f t="shared" si="42"/>
        <v>0</v>
      </c>
      <c r="K147" s="479"/>
      <c r="L147" s="488"/>
      <c r="M147" s="479">
        <f t="shared" si="38"/>
        <v>0</v>
      </c>
      <c r="N147" s="488"/>
      <c r="O147" s="479">
        <f t="shared" si="39"/>
        <v>0</v>
      </c>
      <c r="P147" s="479">
        <f t="shared" si="40"/>
        <v>0</v>
      </c>
    </row>
    <row r="148" spans="2:16" ht="12.5">
      <c r="B148" s="160" t="str">
        <f t="shared" si="43"/>
        <v/>
      </c>
      <c r="C148" s="473">
        <f>IF(D93="","-",+C147+1)</f>
        <v>2059</v>
      </c>
      <c r="D148" s="347">
        <f>IF(F147+SUM(E$101:E147)=D$92,F147,D$92-SUM(E$101:E147))</f>
        <v>0</v>
      </c>
      <c r="E148" s="487">
        <f t="shared" si="37"/>
        <v>0</v>
      </c>
      <c r="F148" s="486">
        <f t="shared" si="44"/>
        <v>0</v>
      </c>
      <c r="G148" s="486">
        <f t="shared" si="41"/>
        <v>0</v>
      </c>
      <c r="H148" s="487">
        <f t="shared" si="35"/>
        <v>0</v>
      </c>
      <c r="I148" s="543">
        <f t="shared" si="36"/>
        <v>0</v>
      </c>
      <c r="J148" s="479">
        <f t="shared" si="42"/>
        <v>0</v>
      </c>
      <c r="K148" s="479"/>
      <c r="L148" s="488"/>
      <c r="M148" s="479">
        <f t="shared" si="38"/>
        <v>0</v>
      </c>
      <c r="N148" s="488"/>
      <c r="O148" s="479">
        <f t="shared" si="39"/>
        <v>0</v>
      </c>
      <c r="P148" s="479">
        <f t="shared" si="40"/>
        <v>0</v>
      </c>
    </row>
    <row r="149" spans="2:16" ht="12.5">
      <c r="B149" s="160" t="str">
        <f t="shared" si="43"/>
        <v/>
      </c>
      <c r="C149" s="473">
        <f>IF(D93="","-",+C148+1)</f>
        <v>2060</v>
      </c>
      <c r="D149" s="347">
        <f>IF(F148+SUM(E$101:E148)=D$92,F148,D$92-SUM(E$101:E148))</f>
        <v>0</v>
      </c>
      <c r="E149" s="487">
        <f t="shared" si="37"/>
        <v>0</v>
      </c>
      <c r="F149" s="486">
        <f t="shared" si="44"/>
        <v>0</v>
      </c>
      <c r="G149" s="486">
        <f t="shared" si="41"/>
        <v>0</v>
      </c>
      <c r="H149" s="487">
        <f t="shared" si="35"/>
        <v>0</v>
      </c>
      <c r="I149" s="543">
        <f t="shared" si="36"/>
        <v>0</v>
      </c>
      <c r="J149" s="479">
        <f t="shared" si="42"/>
        <v>0</v>
      </c>
      <c r="K149" s="479"/>
      <c r="L149" s="488"/>
      <c r="M149" s="479">
        <f t="shared" si="38"/>
        <v>0</v>
      </c>
      <c r="N149" s="488"/>
      <c r="O149" s="479">
        <f t="shared" si="39"/>
        <v>0</v>
      </c>
      <c r="P149" s="479">
        <f t="shared" si="40"/>
        <v>0</v>
      </c>
    </row>
    <row r="150" spans="2:16" ht="12.5">
      <c r="B150" s="160" t="str">
        <f t="shared" si="43"/>
        <v/>
      </c>
      <c r="C150" s="473">
        <f>IF(D93="","-",+C149+1)</f>
        <v>2061</v>
      </c>
      <c r="D150" s="347">
        <f>IF(F149+SUM(E$101:E149)=D$92,F149,D$92-SUM(E$101:E149))</f>
        <v>0</v>
      </c>
      <c r="E150" s="487">
        <f t="shared" si="37"/>
        <v>0</v>
      </c>
      <c r="F150" s="486">
        <f t="shared" si="44"/>
        <v>0</v>
      </c>
      <c r="G150" s="486">
        <f t="shared" si="41"/>
        <v>0</v>
      </c>
      <c r="H150" s="487">
        <f t="shared" si="35"/>
        <v>0</v>
      </c>
      <c r="I150" s="543">
        <f t="shared" si="36"/>
        <v>0</v>
      </c>
      <c r="J150" s="479">
        <f t="shared" si="42"/>
        <v>0</v>
      </c>
      <c r="K150" s="479"/>
      <c r="L150" s="488"/>
      <c r="M150" s="479">
        <f t="shared" si="38"/>
        <v>0</v>
      </c>
      <c r="N150" s="488"/>
      <c r="O150" s="479">
        <f t="shared" si="39"/>
        <v>0</v>
      </c>
      <c r="P150" s="479">
        <f t="shared" si="40"/>
        <v>0</v>
      </c>
    </row>
    <row r="151" spans="2:16" ht="12.5">
      <c r="B151" s="160" t="str">
        <f t="shared" si="43"/>
        <v/>
      </c>
      <c r="C151" s="473">
        <f>IF(D93="","-",+C150+1)</f>
        <v>2062</v>
      </c>
      <c r="D151" s="347">
        <f>IF(F150+SUM(E$101:E150)=D$92,F150,D$92-SUM(E$101:E150))</f>
        <v>0</v>
      </c>
      <c r="E151" s="487">
        <f t="shared" si="37"/>
        <v>0</v>
      </c>
      <c r="F151" s="486">
        <f t="shared" si="44"/>
        <v>0</v>
      </c>
      <c r="G151" s="486">
        <f t="shared" si="41"/>
        <v>0</v>
      </c>
      <c r="H151" s="487">
        <f t="shared" si="35"/>
        <v>0</v>
      </c>
      <c r="I151" s="543">
        <f t="shared" si="36"/>
        <v>0</v>
      </c>
      <c r="J151" s="479">
        <f t="shared" si="42"/>
        <v>0</v>
      </c>
      <c r="K151" s="479"/>
      <c r="L151" s="488"/>
      <c r="M151" s="479">
        <f t="shared" si="38"/>
        <v>0</v>
      </c>
      <c r="N151" s="488"/>
      <c r="O151" s="479">
        <f t="shared" si="39"/>
        <v>0</v>
      </c>
      <c r="P151" s="479">
        <f t="shared" si="40"/>
        <v>0</v>
      </c>
    </row>
    <row r="152" spans="2:16" ht="12.5">
      <c r="B152" s="160" t="str">
        <f t="shared" si="43"/>
        <v/>
      </c>
      <c r="C152" s="473">
        <f>IF(D93="","-",+C151+1)</f>
        <v>2063</v>
      </c>
      <c r="D152" s="347">
        <f>IF(F151+SUM(E$101:E151)=D$92,F151,D$92-SUM(E$101:E151))</f>
        <v>0</v>
      </c>
      <c r="E152" s="487">
        <f t="shared" si="37"/>
        <v>0</v>
      </c>
      <c r="F152" s="486">
        <f t="shared" si="44"/>
        <v>0</v>
      </c>
      <c r="G152" s="486">
        <f t="shared" si="41"/>
        <v>0</v>
      </c>
      <c r="H152" s="487">
        <f t="shared" si="35"/>
        <v>0</v>
      </c>
      <c r="I152" s="543">
        <f t="shared" si="36"/>
        <v>0</v>
      </c>
      <c r="J152" s="479">
        <f t="shared" si="42"/>
        <v>0</v>
      </c>
      <c r="K152" s="479"/>
      <c r="L152" s="488"/>
      <c r="M152" s="479">
        <f t="shared" si="38"/>
        <v>0</v>
      </c>
      <c r="N152" s="488"/>
      <c r="O152" s="479">
        <f t="shared" si="39"/>
        <v>0</v>
      </c>
      <c r="P152" s="479">
        <f t="shared" si="40"/>
        <v>0</v>
      </c>
    </row>
    <row r="153" spans="2:16" ht="12.5">
      <c r="B153" s="160" t="str">
        <f t="shared" si="43"/>
        <v/>
      </c>
      <c r="C153" s="473">
        <f>IF(D93="","-",+C152+1)</f>
        <v>2064</v>
      </c>
      <c r="D153" s="347">
        <f>IF(F152+SUM(E$101:E152)=D$92,F152,D$92-SUM(E$101:E152))</f>
        <v>0</v>
      </c>
      <c r="E153" s="487">
        <f t="shared" si="37"/>
        <v>0</v>
      </c>
      <c r="F153" s="486">
        <f t="shared" si="44"/>
        <v>0</v>
      </c>
      <c r="G153" s="486">
        <f t="shared" si="41"/>
        <v>0</v>
      </c>
      <c r="H153" s="487">
        <f t="shared" si="35"/>
        <v>0</v>
      </c>
      <c r="I153" s="543">
        <f t="shared" si="36"/>
        <v>0</v>
      </c>
      <c r="J153" s="479">
        <f t="shared" si="42"/>
        <v>0</v>
      </c>
      <c r="K153" s="479"/>
      <c r="L153" s="488"/>
      <c r="M153" s="479">
        <f t="shared" si="38"/>
        <v>0</v>
      </c>
      <c r="N153" s="488"/>
      <c r="O153" s="479">
        <f t="shared" si="39"/>
        <v>0</v>
      </c>
      <c r="P153" s="479">
        <f t="shared" si="40"/>
        <v>0</v>
      </c>
    </row>
    <row r="154" spans="2:16" ht="13" thickBot="1">
      <c r="B154" s="160" t="str">
        <f t="shared" si="43"/>
        <v/>
      </c>
      <c r="C154" s="490">
        <f>IF(D93="","-",+C153+1)</f>
        <v>2065</v>
      </c>
      <c r="D154" s="544">
        <f>IF(F153+SUM(E$101:E153)=D$92,F153,D$92-SUM(E$101:E153))</f>
        <v>0</v>
      </c>
      <c r="E154" s="545">
        <f t="shared" si="37"/>
        <v>0</v>
      </c>
      <c r="F154" s="491">
        <f t="shared" si="44"/>
        <v>0</v>
      </c>
      <c r="G154" s="491">
        <f t="shared" si="41"/>
        <v>0</v>
      </c>
      <c r="H154" s="493">
        <f t="shared" ref="H154" si="45">+J$94*G154+E154</f>
        <v>0</v>
      </c>
      <c r="I154" s="546">
        <f t="shared" ref="I154" si="46">+J$95*G154+E154</f>
        <v>0</v>
      </c>
      <c r="J154" s="496">
        <f t="shared" si="42"/>
        <v>0</v>
      </c>
      <c r="K154" s="479"/>
      <c r="L154" s="495"/>
      <c r="M154" s="496">
        <f t="shared" si="38"/>
        <v>0</v>
      </c>
      <c r="N154" s="495"/>
      <c r="O154" s="496">
        <f t="shared" si="39"/>
        <v>0</v>
      </c>
      <c r="P154" s="496">
        <f t="shared" si="40"/>
        <v>0</v>
      </c>
    </row>
    <row r="155" spans="2:16" ht="12.5">
      <c r="C155" s="347" t="s">
        <v>77</v>
      </c>
      <c r="D155" s="348"/>
      <c r="E155" s="348">
        <f>SUM(E101:E154)</f>
        <v>22097</v>
      </c>
      <c r="F155" s="348"/>
      <c r="G155" s="348"/>
      <c r="H155" s="348">
        <f>SUM(H101:H154)</f>
        <v>82086.374152109231</v>
      </c>
      <c r="I155" s="348">
        <f>SUM(I101:I154)</f>
        <v>82086.374152109231</v>
      </c>
      <c r="J155" s="348">
        <f>SUM(J101:J154)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35" priority="3" stopIfTrue="1" operator="equal">
      <formula>$I$10</formula>
    </cfRule>
  </conditionalFormatting>
  <conditionalFormatting sqref="C102:C152">
    <cfRule type="cellIs" dxfId="34" priority="4" stopIfTrue="1" operator="equal">
      <formula>$J$92</formula>
    </cfRule>
  </conditionalFormatting>
  <conditionalFormatting sqref="C153:C154">
    <cfRule type="cellIs" dxfId="33" priority="2" stopIfTrue="1" operator="equal">
      <formula>$J$92</formula>
    </cfRule>
  </conditionalFormatting>
  <conditionalFormatting sqref="C100:C101">
    <cfRule type="cellIs" dxfId="32" priority="1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P162"/>
  <sheetViews>
    <sheetView view="pageBreakPreview" topLeftCell="B61" zoomScale="75" zoomScaleNormal="100" zoomScaleSheetLayoutView="75" workbookViewId="0">
      <selection activeCell="H106" sqref="H106:I106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14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111352.31037205369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111352.31037205369</v>
      </c>
      <c r="O6" s="233"/>
      <c r="P6" s="233"/>
    </row>
    <row r="7" spans="1:16" ht="13.5" thickBot="1">
      <c r="C7" s="432" t="s">
        <v>46</v>
      </c>
      <c r="D7" s="600" t="s">
        <v>242</v>
      </c>
      <c r="E7" s="601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241</v>
      </c>
      <c r="E9" s="578" t="s">
        <v>293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1035552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2013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2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24082.60465116279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1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2013</v>
      </c>
      <c r="D17" s="582">
        <v>5562500</v>
      </c>
      <c r="E17" s="602">
        <v>89142.628205128203</v>
      </c>
      <c r="F17" s="582">
        <v>5473357.371794872</v>
      </c>
      <c r="G17" s="602">
        <v>870775.06277038739</v>
      </c>
      <c r="H17" s="603">
        <v>870775.06277038739</v>
      </c>
      <c r="I17" s="476">
        <v>0</v>
      </c>
      <c r="J17" s="349"/>
      <c r="K17" s="555">
        <f t="shared" ref="K17:K22" si="0">G17</f>
        <v>870775.06277038739</v>
      </c>
      <c r="L17" s="604">
        <f t="shared" ref="L17:L22" si="1">IF(K17&lt;&gt;0,+G17-K17,0)</f>
        <v>0</v>
      </c>
      <c r="M17" s="555">
        <f t="shared" ref="M17:M22" si="2">H17</f>
        <v>870775.06277038739</v>
      </c>
      <c r="N17" s="478">
        <f t="shared" ref="N17:N22" si="3">IF(M17&lt;&gt;0,+H17-M17,0)</f>
        <v>0</v>
      </c>
      <c r="O17" s="476">
        <f t="shared" ref="O17:O22" si="4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2014</v>
      </c>
      <c r="D18" s="587">
        <v>5473357</v>
      </c>
      <c r="E18" s="586">
        <v>19910</v>
      </c>
      <c r="F18" s="587">
        <v>5453447</v>
      </c>
      <c r="G18" s="586">
        <v>770625</v>
      </c>
      <c r="H18" s="588">
        <v>770625</v>
      </c>
      <c r="I18" s="476">
        <f>H18-G18</f>
        <v>0</v>
      </c>
      <c r="J18" s="349"/>
      <c r="K18" s="477">
        <f t="shared" si="0"/>
        <v>770625</v>
      </c>
      <c r="L18" s="604">
        <f t="shared" si="1"/>
        <v>0</v>
      </c>
      <c r="M18" s="477">
        <f t="shared" si="2"/>
        <v>770625</v>
      </c>
      <c r="N18" s="479">
        <f t="shared" si="3"/>
        <v>0</v>
      </c>
      <c r="O18" s="476">
        <f t="shared" si="4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2015</v>
      </c>
      <c r="D19" s="587">
        <v>5453447</v>
      </c>
      <c r="E19" s="586">
        <f t="shared" ref="E19:E72" si="5">IF(+$I$14&lt;F18,$I$14,D19)</f>
        <v>24082.60465116279</v>
      </c>
      <c r="F19" s="587">
        <v>5433533</v>
      </c>
      <c r="G19" s="586">
        <v>769045</v>
      </c>
      <c r="H19" s="588">
        <v>769045</v>
      </c>
      <c r="I19" s="476">
        <f t="shared" ref="I19:I72" si="6">H19-G19</f>
        <v>0</v>
      </c>
      <c r="J19" s="349"/>
      <c r="K19" s="477">
        <f t="shared" si="0"/>
        <v>769045</v>
      </c>
      <c r="L19" s="604">
        <f t="shared" si="1"/>
        <v>0</v>
      </c>
      <c r="M19" s="477">
        <f t="shared" si="2"/>
        <v>769045</v>
      </c>
      <c r="N19" s="479">
        <f t="shared" si="3"/>
        <v>0</v>
      </c>
      <c r="O19" s="476">
        <f t="shared" si="4"/>
        <v>0</v>
      </c>
      <c r="P19" s="243"/>
    </row>
    <row r="20" spans="2:16" ht="12.5">
      <c r="B20" s="160" t="str">
        <f t="shared" ref="B20:B72" si="7">IF(D20=F19,"","IU")</f>
        <v>IU</v>
      </c>
      <c r="C20" s="473">
        <f>IF(D11="","-",+C19+1)</f>
        <v>2016</v>
      </c>
      <c r="D20" s="587">
        <v>906584.91025641025</v>
      </c>
      <c r="E20" s="586">
        <v>19914.461538461539</v>
      </c>
      <c r="F20" s="587">
        <v>886670.44871794875</v>
      </c>
      <c r="G20" s="586">
        <v>136209.46153846153</v>
      </c>
      <c r="H20" s="588">
        <v>136209.46153846153</v>
      </c>
      <c r="I20" s="476">
        <f t="shared" si="6"/>
        <v>0</v>
      </c>
      <c r="J20" s="349"/>
      <c r="K20" s="477">
        <f t="shared" si="0"/>
        <v>136209.46153846153</v>
      </c>
      <c r="L20" s="604">
        <f t="shared" si="1"/>
        <v>0</v>
      </c>
      <c r="M20" s="477">
        <f t="shared" si="2"/>
        <v>136209.46153846153</v>
      </c>
      <c r="N20" s="479">
        <f t="shared" si="3"/>
        <v>0</v>
      </c>
      <c r="O20" s="476">
        <f t="shared" si="4"/>
        <v>0</v>
      </c>
      <c r="P20" s="243"/>
    </row>
    <row r="21" spans="2:16" ht="12.5">
      <c r="B21" s="160" t="str">
        <f t="shared" si="7"/>
        <v>IU</v>
      </c>
      <c r="C21" s="473">
        <f>IF(D11="","-",+C20+1)</f>
        <v>2017</v>
      </c>
      <c r="D21" s="587">
        <v>884072.91025641025</v>
      </c>
      <c r="E21" s="586">
        <v>22512</v>
      </c>
      <c r="F21" s="587">
        <v>861560.91025641025</v>
      </c>
      <c r="G21" s="586">
        <v>132155</v>
      </c>
      <c r="H21" s="588">
        <v>132155</v>
      </c>
      <c r="I21" s="476">
        <f t="shared" si="6"/>
        <v>0</v>
      </c>
      <c r="J21" s="349"/>
      <c r="K21" s="477">
        <f t="shared" si="0"/>
        <v>132155</v>
      </c>
      <c r="L21" s="604">
        <f t="shared" si="1"/>
        <v>0</v>
      </c>
      <c r="M21" s="477">
        <f t="shared" si="2"/>
        <v>132155</v>
      </c>
      <c r="N21" s="479">
        <f t="shared" si="3"/>
        <v>0</v>
      </c>
      <c r="O21" s="476">
        <f t="shared" si="4"/>
        <v>0</v>
      </c>
      <c r="P21" s="243"/>
    </row>
    <row r="22" spans="2:16" ht="12.5">
      <c r="B22" s="160" t="str">
        <f t="shared" si="7"/>
        <v>IU</v>
      </c>
      <c r="C22" s="473">
        <f>IF(D11="","-",+C21+1)</f>
        <v>2018</v>
      </c>
      <c r="D22" s="587">
        <v>861060.64358974365</v>
      </c>
      <c r="E22" s="586">
        <v>23012.266666666666</v>
      </c>
      <c r="F22" s="587">
        <v>838048.37692307692</v>
      </c>
      <c r="G22" s="586">
        <v>136430.26666666666</v>
      </c>
      <c r="H22" s="588">
        <v>136430.26666666666</v>
      </c>
      <c r="I22" s="476">
        <f t="shared" si="6"/>
        <v>0</v>
      </c>
      <c r="J22" s="349"/>
      <c r="K22" s="477">
        <f t="shared" si="0"/>
        <v>136430.26666666666</v>
      </c>
      <c r="L22" s="604">
        <f t="shared" si="1"/>
        <v>0</v>
      </c>
      <c r="M22" s="477">
        <f t="shared" si="2"/>
        <v>136430.26666666666</v>
      </c>
      <c r="N22" s="479">
        <f t="shared" si="3"/>
        <v>0</v>
      </c>
      <c r="O22" s="476">
        <f t="shared" si="4"/>
        <v>0</v>
      </c>
      <c r="P22" s="243"/>
    </row>
    <row r="23" spans="2:16" ht="12.5">
      <c r="B23" s="160" t="str">
        <f t="shared" si="7"/>
        <v/>
      </c>
      <c r="C23" s="473">
        <f>IF(D11="","-",+C22+1)</f>
        <v>2019</v>
      </c>
      <c r="D23" s="587">
        <v>838048.37692307692</v>
      </c>
      <c r="E23" s="586">
        <v>23012.266666666666</v>
      </c>
      <c r="F23" s="587">
        <v>815036.1102564102</v>
      </c>
      <c r="G23" s="586">
        <v>133315.26666666666</v>
      </c>
      <c r="H23" s="588">
        <v>133315.26666666666</v>
      </c>
      <c r="I23" s="476">
        <f t="shared" si="6"/>
        <v>0</v>
      </c>
      <c r="J23" s="476"/>
      <c r="K23" s="477">
        <f t="shared" ref="K23" si="8">G23</f>
        <v>133315.26666666666</v>
      </c>
      <c r="L23" s="604">
        <f t="shared" ref="L23" si="9">IF(K23&lt;&gt;0,+G23-K23,0)</f>
        <v>0</v>
      </c>
      <c r="M23" s="477">
        <f t="shared" ref="M23" si="10">H23</f>
        <v>133315.26666666666</v>
      </c>
      <c r="N23" s="479">
        <f t="shared" ref="N23:N72" si="11">IF(M23&lt;&gt;0,+H23-M23,0)</f>
        <v>0</v>
      </c>
      <c r="O23" s="479">
        <f t="shared" ref="O23:O72" si="12">+N23-L23</f>
        <v>0</v>
      </c>
      <c r="P23" s="243"/>
    </row>
    <row r="24" spans="2:16" ht="12.5">
      <c r="B24" s="160" t="str">
        <f t="shared" si="7"/>
        <v/>
      </c>
      <c r="C24" s="473">
        <f>IF(D11="","-",+C23+1)</f>
        <v>2020</v>
      </c>
      <c r="D24" s="587">
        <v>815036.1102564102</v>
      </c>
      <c r="E24" s="586">
        <v>24656</v>
      </c>
      <c r="F24" s="587">
        <v>790380.1102564102</v>
      </c>
      <c r="G24" s="586">
        <v>111352.31037205369</v>
      </c>
      <c r="H24" s="588">
        <v>111352.31037205369</v>
      </c>
      <c r="I24" s="476">
        <f t="shared" si="6"/>
        <v>0</v>
      </c>
      <c r="J24" s="476"/>
      <c r="K24" s="477">
        <f t="shared" ref="K24" si="13">G24</f>
        <v>111352.31037205369</v>
      </c>
      <c r="L24" s="604">
        <f t="shared" ref="L24" si="14">IF(K24&lt;&gt;0,+G24-K24,0)</f>
        <v>0</v>
      </c>
      <c r="M24" s="477">
        <f t="shared" ref="M24" si="15">H24</f>
        <v>111352.31037205369</v>
      </c>
      <c r="N24" s="479">
        <f t="shared" si="11"/>
        <v>0</v>
      </c>
      <c r="O24" s="479">
        <f t="shared" si="12"/>
        <v>0</v>
      </c>
      <c r="P24" s="243"/>
    </row>
    <row r="25" spans="2:16" ht="12.5">
      <c r="B25" s="160" t="str">
        <f t="shared" si="7"/>
        <v>IU</v>
      </c>
      <c r="C25" s="473">
        <f>IF(D11="","-",+C24+1)</f>
        <v>2021</v>
      </c>
      <c r="D25" s="486">
        <f>IF(F24+SUM(E$17:E24)=D$10,F24,D$10-SUM(E$17:E24))</f>
        <v>789309.77227191417</v>
      </c>
      <c r="E25" s="485">
        <f t="shared" si="5"/>
        <v>24082.60465116279</v>
      </c>
      <c r="F25" s="486">
        <f t="shared" ref="F25:F72" si="16">+D25-E25</f>
        <v>765227.16762075142</v>
      </c>
      <c r="G25" s="487">
        <f t="shared" ref="G25:G72" si="17">(D25+F25)/2*I$12+E25</f>
        <v>113512.26631386267</v>
      </c>
      <c r="H25" s="456">
        <f t="shared" ref="H25:H72" si="18">+(D25+F25)/2*I$13+E25</f>
        <v>113512.26631386267</v>
      </c>
      <c r="I25" s="476">
        <f t="shared" si="6"/>
        <v>0</v>
      </c>
      <c r="J25" s="476"/>
      <c r="K25" s="488"/>
      <c r="L25" s="479">
        <f t="shared" ref="L25:L72" si="19">IF(K25&lt;&gt;0,+G25-K25,0)</f>
        <v>0</v>
      </c>
      <c r="M25" s="488"/>
      <c r="N25" s="479">
        <f t="shared" si="11"/>
        <v>0</v>
      </c>
      <c r="O25" s="479">
        <f t="shared" si="12"/>
        <v>0</v>
      </c>
      <c r="P25" s="243"/>
    </row>
    <row r="26" spans="2:16" ht="12.5">
      <c r="B26" s="160" t="str">
        <f t="shared" si="7"/>
        <v/>
      </c>
      <c r="C26" s="473">
        <f>IF(D11="","-",+C25+1)</f>
        <v>2022</v>
      </c>
      <c r="D26" s="486">
        <f>IF(F25+SUM(E$17:E25)=D$10,F25,D$10-SUM(E$17:E25))</f>
        <v>765227.16762075142</v>
      </c>
      <c r="E26" s="485">
        <f t="shared" si="5"/>
        <v>24082.60465116279</v>
      </c>
      <c r="F26" s="486">
        <f t="shared" si="16"/>
        <v>741144.56296958867</v>
      </c>
      <c r="G26" s="487">
        <f t="shared" si="17"/>
        <v>110741.41007926107</v>
      </c>
      <c r="H26" s="456">
        <f t="shared" si="18"/>
        <v>110741.41007926107</v>
      </c>
      <c r="I26" s="476">
        <f t="shared" si="6"/>
        <v>0</v>
      </c>
      <c r="J26" s="476"/>
      <c r="K26" s="488"/>
      <c r="L26" s="479">
        <f t="shared" si="19"/>
        <v>0</v>
      </c>
      <c r="M26" s="488"/>
      <c r="N26" s="479">
        <f t="shared" si="11"/>
        <v>0</v>
      </c>
      <c r="O26" s="479">
        <f t="shared" si="12"/>
        <v>0</v>
      </c>
      <c r="P26" s="243"/>
    </row>
    <row r="27" spans="2:16" ht="12.5">
      <c r="B27" s="160" t="str">
        <f t="shared" si="7"/>
        <v/>
      </c>
      <c r="C27" s="473">
        <f>IF(D11="","-",+C26+1)</f>
        <v>2023</v>
      </c>
      <c r="D27" s="486">
        <f>IF(F26+SUM(E$17:E26)=D$10,F26,D$10-SUM(E$17:E26))</f>
        <v>741144.56296958867</v>
      </c>
      <c r="E27" s="485">
        <f t="shared" si="5"/>
        <v>24082.60465116279</v>
      </c>
      <c r="F27" s="486">
        <f t="shared" si="16"/>
        <v>717061.95831842592</v>
      </c>
      <c r="G27" s="487">
        <f t="shared" si="17"/>
        <v>107970.55384465944</v>
      </c>
      <c r="H27" s="456">
        <f t="shared" si="18"/>
        <v>107970.55384465944</v>
      </c>
      <c r="I27" s="476">
        <f t="shared" si="6"/>
        <v>0</v>
      </c>
      <c r="J27" s="476"/>
      <c r="K27" s="488"/>
      <c r="L27" s="479">
        <f t="shared" si="19"/>
        <v>0</v>
      </c>
      <c r="M27" s="488"/>
      <c r="N27" s="479">
        <f t="shared" si="11"/>
        <v>0</v>
      </c>
      <c r="O27" s="479">
        <f t="shared" si="12"/>
        <v>0</v>
      </c>
      <c r="P27" s="243"/>
    </row>
    <row r="28" spans="2:16" ht="12.5">
      <c r="B28" s="160" t="str">
        <f t="shared" si="7"/>
        <v/>
      </c>
      <c r="C28" s="473">
        <f>IF(D11="","-",+C27+1)</f>
        <v>2024</v>
      </c>
      <c r="D28" s="486">
        <f>IF(F27+SUM(E$17:E27)=D$10,F27,D$10-SUM(E$17:E27))</f>
        <v>717061.95831842592</v>
      </c>
      <c r="E28" s="485">
        <f t="shared" si="5"/>
        <v>24082.60465116279</v>
      </c>
      <c r="F28" s="486">
        <f t="shared" si="16"/>
        <v>692979.35366726317</v>
      </c>
      <c r="G28" s="487">
        <f t="shared" si="17"/>
        <v>105199.69761005786</v>
      </c>
      <c r="H28" s="456">
        <f t="shared" si="18"/>
        <v>105199.69761005786</v>
      </c>
      <c r="I28" s="476">
        <f t="shared" si="6"/>
        <v>0</v>
      </c>
      <c r="J28" s="476"/>
      <c r="K28" s="488"/>
      <c r="L28" s="479">
        <f t="shared" si="19"/>
        <v>0</v>
      </c>
      <c r="M28" s="488"/>
      <c r="N28" s="479">
        <f t="shared" si="11"/>
        <v>0</v>
      </c>
      <c r="O28" s="479">
        <f t="shared" si="12"/>
        <v>0</v>
      </c>
      <c r="P28" s="243"/>
    </row>
    <row r="29" spans="2:16" ht="12.5">
      <c r="B29" s="160" t="str">
        <f t="shared" si="7"/>
        <v/>
      </c>
      <c r="C29" s="473">
        <f>IF(D11="","-",+C28+1)</f>
        <v>2025</v>
      </c>
      <c r="D29" s="486">
        <f>IF(F28+SUM(E$17:E28)=D$10,F28,D$10-SUM(E$17:E28))</f>
        <v>692979.35366726317</v>
      </c>
      <c r="E29" s="485">
        <f t="shared" si="5"/>
        <v>24082.60465116279</v>
      </c>
      <c r="F29" s="486">
        <f t="shared" si="16"/>
        <v>668896.74901610042</v>
      </c>
      <c r="G29" s="487">
        <f t="shared" si="17"/>
        <v>102428.84137545624</v>
      </c>
      <c r="H29" s="456">
        <f t="shared" si="18"/>
        <v>102428.84137545624</v>
      </c>
      <c r="I29" s="476">
        <f t="shared" si="6"/>
        <v>0</v>
      </c>
      <c r="J29" s="476"/>
      <c r="K29" s="488"/>
      <c r="L29" s="479">
        <f t="shared" si="19"/>
        <v>0</v>
      </c>
      <c r="M29" s="488"/>
      <c r="N29" s="479">
        <f t="shared" si="11"/>
        <v>0</v>
      </c>
      <c r="O29" s="479">
        <f t="shared" si="12"/>
        <v>0</v>
      </c>
      <c r="P29" s="243"/>
    </row>
    <row r="30" spans="2:16" ht="12.5">
      <c r="B30" s="160" t="str">
        <f t="shared" si="7"/>
        <v/>
      </c>
      <c r="C30" s="473">
        <f>IF(D11="","-",+C29+1)</f>
        <v>2026</v>
      </c>
      <c r="D30" s="486">
        <f>IF(F29+SUM(E$17:E29)=D$10,F29,D$10-SUM(E$17:E29))</f>
        <v>668896.74901610042</v>
      </c>
      <c r="E30" s="485">
        <f t="shared" si="5"/>
        <v>24082.60465116279</v>
      </c>
      <c r="F30" s="486">
        <f t="shared" si="16"/>
        <v>644814.14436493767</v>
      </c>
      <c r="G30" s="487">
        <f t="shared" si="17"/>
        <v>99657.985140854653</v>
      </c>
      <c r="H30" s="456">
        <f t="shared" si="18"/>
        <v>99657.985140854653</v>
      </c>
      <c r="I30" s="476">
        <f t="shared" si="6"/>
        <v>0</v>
      </c>
      <c r="J30" s="476"/>
      <c r="K30" s="488"/>
      <c r="L30" s="479">
        <f t="shared" si="19"/>
        <v>0</v>
      </c>
      <c r="M30" s="488"/>
      <c r="N30" s="479">
        <f t="shared" si="11"/>
        <v>0</v>
      </c>
      <c r="O30" s="479">
        <f t="shared" si="12"/>
        <v>0</v>
      </c>
      <c r="P30" s="243"/>
    </row>
    <row r="31" spans="2:16" ht="12.5">
      <c r="B31" s="160" t="str">
        <f t="shared" si="7"/>
        <v/>
      </c>
      <c r="C31" s="473">
        <f>IF(D11="","-",+C30+1)</f>
        <v>2027</v>
      </c>
      <c r="D31" s="486">
        <f>IF(F30+SUM(E$17:E30)=D$10,F30,D$10-SUM(E$17:E30))</f>
        <v>644814.14436493767</v>
      </c>
      <c r="E31" s="485">
        <f t="shared" si="5"/>
        <v>24082.60465116279</v>
      </c>
      <c r="F31" s="486">
        <f t="shared" si="16"/>
        <v>620731.53971377492</v>
      </c>
      <c r="G31" s="487">
        <f t="shared" si="17"/>
        <v>96887.128906253027</v>
      </c>
      <c r="H31" s="456">
        <f t="shared" si="18"/>
        <v>96887.128906253027</v>
      </c>
      <c r="I31" s="476">
        <f t="shared" si="6"/>
        <v>0</v>
      </c>
      <c r="J31" s="476"/>
      <c r="K31" s="488"/>
      <c r="L31" s="479">
        <f t="shared" si="19"/>
        <v>0</v>
      </c>
      <c r="M31" s="488"/>
      <c r="N31" s="479">
        <f t="shared" si="11"/>
        <v>0</v>
      </c>
      <c r="O31" s="479">
        <f t="shared" si="12"/>
        <v>0</v>
      </c>
      <c r="P31" s="243"/>
    </row>
    <row r="32" spans="2:16" ht="12.5">
      <c r="B32" s="160" t="str">
        <f t="shared" si="7"/>
        <v/>
      </c>
      <c r="C32" s="473">
        <f>IF(D11="","-",+C31+1)</f>
        <v>2028</v>
      </c>
      <c r="D32" s="486">
        <f>IF(F31+SUM(E$17:E31)=D$10,F31,D$10-SUM(E$17:E31))</f>
        <v>620731.53971377492</v>
      </c>
      <c r="E32" s="485">
        <f t="shared" si="5"/>
        <v>24082.60465116279</v>
      </c>
      <c r="F32" s="486">
        <f t="shared" si="16"/>
        <v>596648.93506261217</v>
      </c>
      <c r="G32" s="487">
        <f t="shared" si="17"/>
        <v>94116.27267165143</v>
      </c>
      <c r="H32" s="456">
        <f t="shared" si="18"/>
        <v>94116.27267165143</v>
      </c>
      <c r="I32" s="476">
        <f t="shared" si="6"/>
        <v>0</v>
      </c>
      <c r="J32" s="476"/>
      <c r="K32" s="488"/>
      <c r="L32" s="479">
        <f t="shared" si="19"/>
        <v>0</v>
      </c>
      <c r="M32" s="488"/>
      <c r="N32" s="479">
        <f t="shared" si="11"/>
        <v>0</v>
      </c>
      <c r="O32" s="479">
        <f t="shared" si="12"/>
        <v>0</v>
      </c>
      <c r="P32" s="243"/>
    </row>
    <row r="33" spans="2:16" ht="12.5">
      <c r="B33" s="160" t="str">
        <f t="shared" si="7"/>
        <v/>
      </c>
      <c r="C33" s="473">
        <f>IF(D11="","-",+C32+1)</f>
        <v>2029</v>
      </c>
      <c r="D33" s="486">
        <f>IF(F32+SUM(E$17:E32)=D$10,F32,D$10-SUM(E$17:E32))</f>
        <v>596648.93506261217</v>
      </c>
      <c r="E33" s="485">
        <f t="shared" si="5"/>
        <v>24082.60465116279</v>
      </c>
      <c r="F33" s="486">
        <f t="shared" si="16"/>
        <v>572566.33041144942</v>
      </c>
      <c r="G33" s="487">
        <f t="shared" si="17"/>
        <v>91345.416437049818</v>
      </c>
      <c r="H33" s="456">
        <f t="shared" si="18"/>
        <v>91345.416437049818</v>
      </c>
      <c r="I33" s="476">
        <f t="shared" si="6"/>
        <v>0</v>
      </c>
      <c r="J33" s="476"/>
      <c r="K33" s="488"/>
      <c r="L33" s="479">
        <f t="shared" si="19"/>
        <v>0</v>
      </c>
      <c r="M33" s="488"/>
      <c r="N33" s="479">
        <f t="shared" si="11"/>
        <v>0</v>
      </c>
      <c r="O33" s="479">
        <f t="shared" si="12"/>
        <v>0</v>
      </c>
      <c r="P33" s="243"/>
    </row>
    <row r="34" spans="2:16" ht="12.5">
      <c r="B34" s="160" t="str">
        <f t="shared" si="7"/>
        <v/>
      </c>
      <c r="C34" s="473">
        <f>IF(D11="","-",+C33+1)</f>
        <v>2030</v>
      </c>
      <c r="D34" s="486">
        <f>IF(F33+SUM(E$17:E33)=D$10,F33,D$10-SUM(E$17:E33))</f>
        <v>572566.33041144942</v>
      </c>
      <c r="E34" s="485">
        <f t="shared" si="5"/>
        <v>24082.60465116279</v>
      </c>
      <c r="F34" s="486">
        <f t="shared" si="16"/>
        <v>548483.72576028667</v>
      </c>
      <c r="G34" s="487">
        <f t="shared" si="17"/>
        <v>88574.560202448221</v>
      </c>
      <c r="H34" s="456">
        <f t="shared" si="18"/>
        <v>88574.560202448221</v>
      </c>
      <c r="I34" s="476">
        <f t="shared" si="6"/>
        <v>0</v>
      </c>
      <c r="J34" s="476"/>
      <c r="K34" s="488"/>
      <c r="L34" s="479">
        <f t="shared" si="19"/>
        <v>0</v>
      </c>
      <c r="M34" s="488"/>
      <c r="N34" s="479">
        <f t="shared" si="11"/>
        <v>0</v>
      </c>
      <c r="O34" s="479">
        <f t="shared" si="12"/>
        <v>0</v>
      </c>
      <c r="P34" s="243"/>
    </row>
    <row r="35" spans="2:16" ht="12.5">
      <c r="B35" s="160" t="str">
        <f t="shared" si="7"/>
        <v/>
      </c>
      <c r="C35" s="473">
        <f>IF(D11="","-",+C34+1)</f>
        <v>2031</v>
      </c>
      <c r="D35" s="486">
        <f>IF(F34+SUM(E$17:E34)=D$10,F34,D$10-SUM(E$17:E34))</f>
        <v>548483.72576028667</v>
      </c>
      <c r="E35" s="485">
        <f t="shared" si="5"/>
        <v>24082.60465116279</v>
      </c>
      <c r="F35" s="486">
        <f t="shared" si="16"/>
        <v>524401.12110912392</v>
      </c>
      <c r="G35" s="487">
        <f t="shared" si="17"/>
        <v>85803.703967846595</v>
      </c>
      <c r="H35" s="456">
        <f t="shared" si="18"/>
        <v>85803.703967846595</v>
      </c>
      <c r="I35" s="476">
        <f t="shared" si="6"/>
        <v>0</v>
      </c>
      <c r="J35" s="476"/>
      <c r="K35" s="488"/>
      <c r="L35" s="479">
        <f t="shared" si="19"/>
        <v>0</v>
      </c>
      <c r="M35" s="488"/>
      <c r="N35" s="479">
        <f t="shared" si="11"/>
        <v>0</v>
      </c>
      <c r="O35" s="479">
        <f t="shared" si="12"/>
        <v>0</v>
      </c>
      <c r="P35" s="243"/>
    </row>
    <row r="36" spans="2:16" ht="12.5">
      <c r="B36" s="160" t="str">
        <f t="shared" si="7"/>
        <v/>
      </c>
      <c r="C36" s="473">
        <f>IF(D11="","-",+C35+1)</f>
        <v>2032</v>
      </c>
      <c r="D36" s="486">
        <f>IF(F35+SUM(E$17:E35)=D$10,F35,D$10-SUM(E$17:E35))</f>
        <v>524401.12110912392</v>
      </c>
      <c r="E36" s="485">
        <f t="shared" si="5"/>
        <v>24082.60465116279</v>
      </c>
      <c r="F36" s="486">
        <f t="shared" si="16"/>
        <v>500318.51645796112</v>
      </c>
      <c r="G36" s="487">
        <f t="shared" si="17"/>
        <v>83032.847733244998</v>
      </c>
      <c r="H36" s="456">
        <f t="shared" si="18"/>
        <v>83032.847733244998</v>
      </c>
      <c r="I36" s="476">
        <f t="shared" si="6"/>
        <v>0</v>
      </c>
      <c r="J36" s="476"/>
      <c r="K36" s="488"/>
      <c r="L36" s="479">
        <f t="shared" si="19"/>
        <v>0</v>
      </c>
      <c r="M36" s="488"/>
      <c r="N36" s="479">
        <f t="shared" si="11"/>
        <v>0</v>
      </c>
      <c r="O36" s="479">
        <f t="shared" si="12"/>
        <v>0</v>
      </c>
      <c r="P36" s="243"/>
    </row>
    <row r="37" spans="2:16" ht="12.5">
      <c r="B37" s="160" t="str">
        <f t="shared" si="7"/>
        <v/>
      </c>
      <c r="C37" s="473">
        <f>IF(D11="","-",+C36+1)</f>
        <v>2033</v>
      </c>
      <c r="D37" s="486">
        <f>IF(F36+SUM(E$17:E36)=D$10,F36,D$10-SUM(E$17:E36))</f>
        <v>500318.51645796112</v>
      </c>
      <c r="E37" s="485">
        <f t="shared" si="5"/>
        <v>24082.60465116279</v>
      </c>
      <c r="F37" s="486">
        <f t="shared" si="16"/>
        <v>476235.91180679831</v>
      </c>
      <c r="G37" s="487">
        <f t="shared" si="17"/>
        <v>80261.991498643387</v>
      </c>
      <c r="H37" s="456">
        <f t="shared" si="18"/>
        <v>80261.991498643387</v>
      </c>
      <c r="I37" s="476">
        <f t="shared" si="6"/>
        <v>0</v>
      </c>
      <c r="J37" s="476"/>
      <c r="K37" s="488"/>
      <c r="L37" s="479">
        <f t="shared" si="19"/>
        <v>0</v>
      </c>
      <c r="M37" s="488"/>
      <c r="N37" s="479">
        <f t="shared" si="11"/>
        <v>0</v>
      </c>
      <c r="O37" s="479">
        <f t="shared" si="12"/>
        <v>0</v>
      </c>
      <c r="P37" s="243"/>
    </row>
    <row r="38" spans="2:16" ht="12.5">
      <c r="B38" s="160" t="str">
        <f t="shared" si="7"/>
        <v/>
      </c>
      <c r="C38" s="473">
        <f>IF(D11="","-",+C37+1)</f>
        <v>2034</v>
      </c>
      <c r="D38" s="486">
        <f>IF(F37+SUM(E$17:E37)=D$10,F37,D$10-SUM(E$17:E37))</f>
        <v>476235.91180679831</v>
      </c>
      <c r="E38" s="485">
        <f t="shared" si="5"/>
        <v>24082.60465116279</v>
      </c>
      <c r="F38" s="486">
        <f t="shared" si="16"/>
        <v>452153.3071556355</v>
      </c>
      <c r="G38" s="487">
        <f t="shared" si="17"/>
        <v>77491.135264041775</v>
      </c>
      <c r="H38" s="456">
        <f t="shared" si="18"/>
        <v>77491.135264041775</v>
      </c>
      <c r="I38" s="476">
        <f t="shared" si="6"/>
        <v>0</v>
      </c>
      <c r="J38" s="476"/>
      <c r="K38" s="488"/>
      <c r="L38" s="479">
        <f t="shared" si="19"/>
        <v>0</v>
      </c>
      <c r="M38" s="488"/>
      <c r="N38" s="479">
        <f t="shared" si="11"/>
        <v>0</v>
      </c>
      <c r="O38" s="479">
        <f t="shared" si="12"/>
        <v>0</v>
      </c>
      <c r="P38" s="243"/>
    </row>
    <row r="39" spans="2:16" ht="12.5">
      <c r="B39" s="160" t="str">
        <f t="shared" si="7"/>
        <v/>
      </c>
      <c r="C39" s="473">
        <f>IF(D11="","-",+C38+1)</f>
        <v>2035</v>
      </c>
      <c r="D39" s="486">
        <f>IF(F38+SUM(E$17:E38)=D$10,F38,D$10-SUM(E$17:E38))</f>
        <v>452153.3071556355</v>
      </c>
      <c r="E39" s="485">
        <f t="shared" si="5"/>
        <v>24082.60465116279</v>
      </c>
      <c r="F39" s="486">
        <f t="shared" si="16"/>
        <v>428070.70250447269</v>
      </c>
      <c r="G39" s="487">
        <f t="shared" si="17"/>
        <v>74720.279029440164</v>
      </c>
      <c r="H39" s="456">
        <f t="shared" si="18"/>
        <v>74720.279029440164</v>
      </c>
      <c r="I39" s="476">
        <f t="shared" si="6"/>
        <v>0</v>
      </c>
      <c r="J39" s="476"/>
      <c r="K39" s="488"/>
      <c r="L39" s="479">
        <f t="shared" si="19"/>
        <v>0</v>
      </c>
      <c r="M39" s="488"/>
      <c r="N39" s="479">
        <f t="shared" si="11"/>
        <v>0</v>
      </c>
      <c r="O39" s="479">
        <f t="shared" si="12"/>
        <v>0</v>
      </c>
      <c r="P39" s="243"/>
    </row>
    <row r="40" spans="2:16" ht="12.5">
      <c r="B40" s="160" t="str">
        <f t="shared" si="7"/>
        <v/>
      </c>
      <c r="C40" s="473">
        <f>IF(D11="","-",+C39+1)</f>
        <v>2036</v>
      </c>
      <c r="D40" s="486">
        <f>IF(F39+SUM(E$17:E39)=D$10,F39,D$10-SUM(E$17:E39))</f>
        <v>428070.70250447269</v>
      </c>
      <c r="E40" s="485">
        <f t="shared" si="5"/>
        <v>24082.60465116279</v>
      </c>
      <c r="F40" s="486">
        <f t="shared" si="16"/>
        <v>403988.09785330988</v>
      </c>
      <c r="G40" s="487">
        <f t="shared" si="17"/>
        <v>71949.422794838538</v>
      </c>
      <c r="H40" s="456">
        <f t="shared" si="18"/>
        <v>71949.422794838538</v>
      </c>
      <c r="I40" s="476">
        <f t="shared" si="6"/>
        <v>0</v>
      </c>
      <c r="J40" s="476"/>
      <c r="K40" s="488"/>
      <c r="L40" s="479">
        <f t="shared" si="19"/>
        <v>0</v>
      </c>
      <c r="M40" s="488"/>
      <c r="N40" s="479">
        <f t="shared" si="11"/>
        <v>0</v>
      </c>
      <c r="O40" s="479">
        <f t="shared" si="12"/>
        <v>0</v>
      </c>
      <c r="P40" s="243"/>
    </row>
    <row r="41" spans="2:16" ht="12.5">
      <c r="B41" s="160" t="str">
        <f t="shared" si="7"/>
        <v/>
      </c>
      <c r="C41" s="473">
        <f>IF(D11="","-",+C40+1)</f>
        <v>2037</v>
      </c>
      <c r="D41" s="486">
        <f>IF(F40+SUM(E$17:E40)=D$10,F40,D$10-SUM(E$17:E40))</f>
        <v>403988.09785330988</v>
      </c>
      <c r="E41" s="485">
        <f t="shared" si="5"/>
        <v>24082.60465116279</v>
      </c>
      <c r="F41" s="486">
        <f t="shared" si="16"/>
        <v>379905.49320214707</v>
      </c>
      <c r="G41" s="487">
        <f t="shared" si="17"/>
        <v>69178.566560236941</v>
      </c>
      <c r="H41" s="456">
        <f t="shared" si="18"/>
        <v>69178.566560236941</v>
      </c>
      <c r="I41" s="476">
        <f t="shared" si="6"/>
        <v>0</v>
      </c>
      <c r="J41" s="476"/>
      <c r="K41" s="488"/>
      <c r="L41" s="479">
        <f t="shared" si="19"/>
        <v>0</v>
      </c>
      <c r="M41" s="488"/>
      <c r="N41" s="479">
        <f t="shared" si="11"/>
        <v>0</v>
      </c>
      <c r="O41" s="479">
        <f t="shared" si="12"/>
        <v>0</v>
      </c>
      <c r="P41" s="243"/>
    </row>
    <row r="42" spans="2:16" ht="12.5">
      <c r="B42" s="160" t="str">
        <f t="shared" si="7"/>
        <v/>
      </c>
      <c r="C42" s="473">
        <f>IF(D11="","-",+C41+1)</f>
        <v>2038</v>
      </c>
      <c r="D42" s="486">
        <f>IF(F41+SUM(E$17:E41)=D$10,F41,D$10-SUM(E$17:E41))</f>
        <v>379905.49320214707</v>
      </c>
      <c r="E42" s="485">
        <f t="shared" si="5"/>
        <v>24082.60465116279</v>
      </c>
      <c r="F42" s="486">
        <f t="shared" si="16"/>
        <v>355822.88855098427</v>
      </c>
      <c r="G42" s="487">
        <f t="shared" si="17"/>
        <v>66407.710325635315</v>
      </c>
      <c r="H42" s="456">
        <f t="shared" si="18"/>
        <v>66407.710325635315</v>
      </c>
      <c r="I42" s="476">
        <f t="shared" si="6"/>
        <v>0</v>
      </c>
      <c r="J42" s="476"/>
      <c r="K42" s="488"/>
      <c r="L42" s="479">
        <f t="shared" si="19"/>
        <v>0</v>
      </c>
      <c r="M42" s="488"/>
      <c r="N42" s="479">
        <f t="shared" si="11"/>
        <v>0</v>
      </c>
      <c r="O42" s="479">
        <f t="shared" si="12"/>
        <v>0</v>
      </c>
      <c r="P42" s="243"/>
    </row>
    <row r="43" spans="2:16" ht="12.5">
      <c r="B43" s="160" t="str">
        <f t="shared" si="7"/>
        <v/>
      </c>
      <c r="C43" s="473">
        <f>IF(D11="","-",+C42+1)</f>
        <v>2039</v>
      </c>
      <c r="D43" s="486">
        <f>IF(F42+SUM(E$17:E42)=D$10,F42,D$10-SUM(E$17:E42))</f>
        <v>355822.88855098427</v>
      </c>
      <c r="E43" s="485">
        <f t="shared" si="5"/>
        <v>24082.60465116279</v>
      </c>
      <c r="F43" s="486">
        <f t="shared" si="16"/>
        <v>331740.28389982146</v>
      </c>
      <c r="G43" s="487">
        <f t="shared" si="17"/>
        <v>63636.854091033718</v>
      </c>
      <c r="H43" s="456">
        <f t="shared" si="18"/>
        <v>63636.854091033718</v>
      </c>
      <c r="I43" s="476">
        <f t="shared" si="6"/>
        <v>0</v>
      </c>
      <c r="J43" s="476"/>
      <c r="K43" s="488"/>
      <c r="L43" s="479">
        <f t="shared" si="19"/>
        <v>0</v>
      </c>
      <c r="M43" s="488"/>
      <c r="N43" s="479">
        <f t="shared" si="11"/>
        <v>0</v>
      </c>
      <c r="O43" s="479">
        <f t="shared" si="12"/>
        <v>0</v>
      </c>
      <c r="P43" s="243"/>
    </row>
    <row r="44" spans="2:16" ht="12.5">
      <c r="B44" s="160" t="str">
        <f t="shared" si="7"/>
        <v/>
      </c>
      <c r="C44" s="473">
        <f>IF(D11="","-",+C43+1)</f>
        <v>2040</v>
      </c>
      <c r="D44" s="486">
        <f>IF(F43+SUM(E$17:E43)=D$10,F43,D$10-SUM(E$17:E43))</f>
        <v>331740.28389982146</v>
      </c>
      <c r="E44" s="485">
        <f t="shared" si="5"/>
        <v>24082.60465116279</v>
      </c>
      <c r="F44" s="486">
        <f t="shared" si="16"/>
        <v>307657.67924865865</v>
      </c>
      <c r="G44" s="487">
        <f t="shared" si="17"/>
        <v>60865.997856432092</v>
      </c>
      <c r="H44" s="456">
        <f t="shared" si="18"/>
        <v>60865.997856432092</v>
      </c>
      <c r="I44" s="476">
        <f t="shared" si="6"/>
        <v>0</v>
      </c>
      <c r="J44" s="476"/>
      <c r="K44" s="488"/>
      <c r="L44" s="479">
        <f t="shared" si="19"/>
        <v>0</v>
      </c>
      <c r="M44" s="488"/>
      <c r="N44" s="479">
        <f t="shared" si="11"/>
        <v>0</v>
      </c>
      <c r="O44" s="479">
        <f t="shared" si="12"/>
        <v>0</v>
      </c>
      <c r="P44" s="243"/>
    </row>
    <row r="45" spans="2:16" ht="12.5">
      <c r="B45" s="160" t="str">
        <f t="shared" si="7"/>
        <v/>
      </c>
      <c r="C45" s="473">
        <f>IF(D11="","-",+C44+1)</f>
        <v>2041</v>
      </c>
      <c r="D45" s="486">
        <f>IF(F44+SUM(E$17:E44)=D$10,F44,D$10-SUM(E$17:E44))</f>
        <v>307657.67924865865</v>
      </c>
      <c r="E45" s="485">
        <f t="shared" si="5"/>
        <v>24082.60465116279</v>
      </c>
      <c r="F45" s="486">
        <f t="shared" si="16"/>
        <v>283575.07459749584</v>
      </c>
      <c r="G45" s="487">
        <f t="shared" si="17"/>
        <v>58095.141621830495</v>
      </c>
      <c r="H45" s="456">
        <f t="shared" si="18"/>
        <v>58095.141621830495</v>
      </c>
      <c r="I45" s="476">
        <f t="shared" si="6"/>
        <v>0</v>
      </c>
      <c r="J45" s="476"/>
      <c r="K45" s="488"/>
      <c r="L45" s="479">
        <f t="shared" si="19"/>
        <v>0</v>
      </c>
      <c r="M45" s="488"/>
      <c r="N45" s="479">
        <f t="shared" si="11"/>
        <v>0</v>
      </c>
      <c r="O45" s="479">
        <f t="shared" si="12"/>
        <v>0</v>
      </c>
      <c r="P45" s="243"/>
    </row>
    <row r="46" spans="2:16" ht="12.5">
      <c r="B46" s="160" t="str">
        <f t="shared" si="7"/>
        <v/>
      </c>
      <c r="C46" s="473">
        <f>IF(D11="","-",+C45+1)</f>
        <v>2042</v>
      </c>
      <c r="D46" s="486">
        <f>IF(F45+SUM(E$17:E45)=D$10,F45,D$10-SUM(E$17:E45))</f>
        <v>283575.07459749584</v>
      </c>
      <c r="E46" s="485">
        <f t="shared" si="5"/>
        <v>24082.60465116279</v>
      </c>
      <c r="F46" s="486">
        <f t="shared" si="16"/>
        <v>259492.46994633306</v>
      </c>
      <c r="G46" s="487">
        <f t="shared" si="17"/>
        <v>55324.285387228876</v>
      </c>
      <c r="H46" s="456">
        <f t="shared" si="18"/>
        <v>55324.285387228876</v>
      </c>
      <c r="I46" s="476">
        <f t="shared" si="6"/>
        <v>0</v>
      </c>
      <c r="J46" s="476"/>
      <c r="K46" s="488"/>
      <c r="L46" s="479">
        <f t="shared" si="19"/>
        <v>0</v>
      </c>
      <c r="M46" s="488"/>
      <c r="N46" s="479">
        <f t="shared" si="11"/>
        <v>0</v>
      </c>
      <c r="O46" s="479">
        <f t="shared" si="12"/>
        <v>0</v>
      </c>
      <c r="P46" s="243"/>
    </row>
    <row r="47" spans="2:16" ht="12.5">
      <c r="B47" s="160" t="str">
        <f t="shared" si="7"/>
        <v/>
      </c>
      <c r="C47" s="473">
        <f>IF(D11="","-",+C46+1)</f>
        <v>2043</v>
      </c>
      <c r="D47" s="486">
        <f>IF(F46+SUM(E$17:E46)=D$10,F46,D$10-SUM(E$17:E46))</f>
        <v>259492.46994633306</v>
      </c>
      <c r="E47" s="485">
        <f t="shared" si="5"/>
        <v>24082.60465116279</v>
      </c>
      <c r="F47" s="486">
        <f t="shared" si="16"/>
        <v>235409.86529517028</v>
      </c>
      <c r="G47" s="487">
        <f t="shared" si="17"/>
        <v>52553.429152627265</v>
      </c>
      <c r="H47" s="456">
        <f t="shared" si="18"/>
        <v>52553.429152627265</v>
      </c>
      <c r="I47" s="476">
        <f t="shared" si="6"/>
        <v>0</v>
      </c>
      <c r="J47" s="476"/>
      <c r="K47" s="488"/>
      <c r="L47" s="479">
        <f t="shared" si="19"/>
        <v>0</v>
      </c>
      <c r="M47" s="488"/>
      <c r="N47" s="479">
        <f t="shared" si="11"/>
        <v>0</v>
      </c>
      <c r="O47" s="479">
        <f t="shared" si="12"/>
        <v>0</v>
      </c>
      <c r="P47" s="243"/>
    </row>
    <row r="48" spans="2:16" ht="12.5">
      <c r="B48" s="160" t="str">
        <f t="shared" si="7"/>
        <v/>
      </c>
      <c r="C48" s="473">
        <f>IF(D11="","-",+C47+1)</f>
        <v>2044</v>
      </c>
      <c r="D48" s="486">
        <f>IF(F47+SUM(E$17:E47)=D$10,F47,D$10-SUM(E$17:E47))</f>
        <v>235409.86529517028</v>
      </c>
      <c r="E48" s="485">
        <f t="shared" si="5"/>
        <v>24082.60465116279</v>
      </c>
      <c r="F48" s="486">
        <f t="shared" si="16"/>
        <v>211327.2606440075</v>
      </c>
      <c r="G48" s="487">
        <f t="shared" si="17"/>
        <v>49782.57291802566</v>
      </c>
      <c r="H48" s="456">
        <f t="shared" si="18"/>
        <v>49782.57291802566</v>
      </c>
      <c r="I48" s="476">
        <f t="shared" si="6"/>
        <v>0</v>
      </c>
      <c r="J48" s="476"/>
      <c r="K48" s="488"/>
      <c r="L48" s="479">
        <f t="shared" si="19"/>
        <v>0</v>
      </c>
      <c r="M48" s="488"/>
      <c r="N48" s="479">
        <f t="shared" si="11"/>
        <v>0</v>
      </c>
      <c r="O48" s="479">
        <f t="shared" si="12"/>
        <v>0</v>
      </c>
      <c r="P48" s="243"/>
    </row>
    <row r="49" spans="2:16" ht="12.5">
      <c r="B49" s="160" t="str">
        <f t="shared" si="7"/>
        <v/>
      </c>
      <c r="C49" s="473">
        <f>IF(D11="","-",+C48+1)</f>
        <v>2045</v>
      </c>
      <c r="D49" s="486">
        <f>IF(F48+SUM(E$17:E48)=D$10,F48,D$10-SUM(E$17:E48))</f>
        <v>211327.2606440075</v>
      </c>
      <c r="E49" s="485">
        <f t="shared" si="5"/>
        <v>24082.60465116279</v>
      </c>
      <c r="F49" s="486">
        <f t="shared" si="16"/>
        <v>187244.65599284472</v>
      </c>
      <c r="G49" s="487">
        <f t="shared" si="17"/>
        <v>47011.716683424049</v>
      </c>
      <c r="H49" s="456">
        <f t="shared" si="18"/>
        <v>47011.716683424049</v>
      </c>
      <c r="I49" s="476">
        <f t="shared" si="6"/>
        <v>0</v>
      </c>
      <c r="J49" s="476"/>
      <c r="K49" s="488"/>
      <c r="L49" s="479">
        <f t="shared" si="19"/>
        <v>0</v>
      </c>
      <c r="M49" s="488"/>
      <c r="N49" s="479">
        <f t="shared" si="11"/>
        <v>0</v>
      </c>
      <c r="O49" s="479">
        <f t="shared" si="12"/>
        <v>0</v>
      </c>
      <c r="P49" s="243"/>
    </row>
    <row r="50" spans="2:16" ht="12.5">
      <c r="B50" s="160" t="str">
        <f t="shared" si="7"/>
        <v/>
      </c>
      <c r="C50" s="473">
        <f>IF(D11="","-",+C49+1)</f>
        <v>2046</v>
      </c>
      <c r="D50" s="486">
        <f>IF(F49+SUM(E$17:E49)=D$10,F49,D$10-SUM(E$17:E49))</f>
        <v>187244.65599284472</v>
      </c>
      <c r="E50" s="485">
        <f t="shared" si="5"/>
        <v>24082.60465116279</v>
      </c>
      <c r="F50" s="486">
        <f t="shared" si="16"/>
        <v>163162.05134168194</v>
      </c>
      <c r="G50" s="487">
        <f t="shared" si="17"/>
        <v>44240.860448822437</v>
      </c>
      <c r="H50" s="456">
        <f t="shared" si="18"/>
        <v>44240.860448822437</v>
      </c>
      <c r="I50" s="476">
        <f t="shared" si="6"/>
        <v>0</v>
      </c>
      <c r="J50" s="476"/>
      <c r="K50" s="488"/>
      <c r="L50" s="479">
        <f t="shared" si="19"/>
        <v>0</v>
      </c>
      <c r="M50" s="488"/>
      <c r="N50" s="479">
        <f t="shared" si="11"/>
        <v>0</v>
      </c>
      <c r="O50" s="479">
        <f t="shared" si="12"/>
        <v>0</v>
      </c>
      <c r="P50" s="243"/>
    </row>
    <row r="51" spans="2:16" ht="12.5">
      <c r="B51" s="160" t="str">
        <f t="shared" si="7"/>
        <v/>
      </c>
      <c r="C51" s="473">
        <f>IF(D11="","-",+C50+1)</f>
        <v>2047</v>
      </c>
      <c r="D51" s="486">
        <f>IF(F50+SUM(E$17:E50)=D$10,F50,D$10-SUM(E$17:E50))</f>
        <v>163162.05134168194</v>
      </c>
      <c r="E51" s="485">
        <f t="shared" si="5"/>
        <v>24082.60465116279</v>
      </c>
      <c r="F51" s="486">
        <f t="shared" si="16"/>
        <v>139079.44669051917</v>
      </c>
      <c r="G51" s="487">
        <f t="shared" si="17"/>
        <v>41470.004214220826</v>
      </c>
      <c r="H51" s="456">
        <f t="shared" si="18"/>
        <v>41470.004214220826</v>
      </c>
      <c r="I51" s="476">
        <f t="shared" si="6"/>
        <v>0</v>
      </c>
      <c r="J51" s="476"/>
      <c r="K51" s="488"/>
      <c r="L51" s="479">
        <f t="shared" si="19"/>
        <v>0</v>
      </c>
      <c r="M51" s="488"/>
      <c r="N51" s="479">
        <f t="shared" si="11"/>
        <v>0</v>
      </c>
      <c r="O51" s="479">
        <f t="shared" si="12"/>
        <v>0</v>
      </c>
      <c r="P51" s="243"/>
    </row>
    <row r="52" spans="2:16" ht="12.5">
      <c r="B52" s="160" t="str">
        <f t="shared" si="7"/>
        <v/>
      </c>
      <c r="C52" s="473">
        <f>IF(D11="","-",+C51+1)</f>
        <v>2048</v>
      </c>
      <c r="D52" s="486">
        <f>IF(F51+SUM(E$17:E51)=D$10,F51,D$10-SUM(E$17:E51))</f>
        <v>139079.44669051917</v>
      </c>
      <c r="E52" s="485">
        <f t="shared" si="5"/>
        <v>24082.60465116279</v>
      </c>
      <c r="F52" s="486">
        <f t="shared" si="16"/>
        <v>114996.84203935637</v>
      </c>
      <c r="G52" s="487">
        <f t="shared" si="17"/>
        <v>38699.147979619214</v>
      </c>
      <c r="H52" s="456">
        <f t="shared" si="18"/>
        <v>38699.147979619214</v>
      </c>
      <c r="I52" s="476">
        <f t="shared" si="6"/>
        <v>0</v>
      </c>
      <c r="J52" s="476"/>
      <c r="K52" s="488"/>
      <c r="L52" s="479">
        <f t="shared" si="19"/>
        <v>0</v>
      </c>
      <c r="M52" s="488"/>
      <c r="N52" s="479">
        <f t="shared" si="11"/>
        <v>0</v>
      </c>
      <c r="O52" s="479">
        <f t="shared" si="12"/>
        <v>0</v>
      </c>
      <c r="P52" s="243"/>
    </row>
    <row r="53" spans="2:16" ht="12.5">
      <c r="B53" s="160" t="str">
        <f t="shared" si="7"/>
        <v/>
      </c>
      <c r="C53" s="473">
        <f>IF(D11="","-",+C52+1)</f>
        <v>2049</v>
      </c>
      <c r="D53" s="486">
        <f>IF(F52+SUM(E$17:E52)=D$10,F52,D$10-SUM(E$17:E52))</f>
        <v>114996.84203935637</v>
      </c>
      <c r="E53" s="485">
        <f t="shared" si="5"/>
        <v>24082.60465116279</v>
      </c>
      <c r="F53" s="486">
        <f t="shared" si="16"/>
        <v>90914.237388193578</v>
      </c>
      <c r="G53" s="487">
        <f t="shared" si="17"/>
        <v>35928.29174501761</v>
      </c>
      <c r="H53" s="456">
        <f t="shared" si="18"/>
        <v>35928.29174501761</v>
      </c>
      <c r="I53" s="476">
        <f t="shared" si="6"/>
        <v>0</v>
      </c>
      <c r="J53" s="476"/>
      <c r="K53" s="488"/>
      <c r="L53" s="479">
        <f t="shared" si="19"/>
        <v>0</v>
      </c>
      <c r="M53" s="488"/>
      <c r="N53" s="479">
        <f t="shared" si="11"/>
        <v>0</v>
      </c>
      <c r="O53" s="479">
        <f t="shared" si="12"/>
        <v>0</v>
      </c>
      <c r="P53" s="243"/>
    </row>
    <row r="54" spans="2:16" ht="12.5">
      <c r="B54" s="160" t="str">
        <f t="shared" si="7"/>
        <v/>
      </c>
      <c r="C54" s="473">
        <f>IF(D11="","-",+C53+1)</f>
        <v>2050</v>
      </c>
      <c r="D54" s="486">
        <f>IF(F53+SUM(E$17:E53)=D$10,F53,D$10-SUM(E$17:E53))</f>
        <v>90914.237388193578</v>
      </c>
      <c r="E54" s="485">
        <f t="shared" si="5"/>
        <v>24082.60465116279</v>
      </c>
      <c r="F54" s="486">
        <f t="shared" si="16"/>
        <v>66831.632737030784</v>
      </c>
      <c r="G54" s="487">
        <f t="shared" si="17"/>
        <v>33157.435510415999</v>
      </c>
      <c r="H54" s="456">
        <f t="shared" si="18"/>
        <v>33157.435510415999</v>
      </c>
      <c r="I54" s="476">
        <f t="shared" si="6"/>
        <v>0</v>
      </c>
      <c r="J54" s="476"/>
      <c r="K54" s="488"/>
      <c r="L54" s="479">
        <f t="shared" si="19"/>
        <v>0</v>
      </c>
      <c r="M54" s="488"/>
      <c r="N54" s="479">
        <f t="shared" si="11"/>
        <v>0</v>
      </c>
      <c r="O54" s="479">
        <f t="shared" si="12"/>
        <v>0</v>
      </c>
      <c r="P54" s="243"/>
    </row>
    <row r="55" spans="2:16" ht="12.5">
      <c r="B55" s="160" t="str">
        <f t="shared" si="7"/>
        <v/>
      </c>
      <c r="C55" s="473">
        <f>IF(D11="","-",+C54+1)</f>
        <v>2051</v>
      </c>
      <c r="D55" s="486">
        <f>IF(F54+SUM(E$17:E54)=D$10,F54,D$10-SUM(E$17:E54))</f>
        <v>66831.632737030784</v>
      </c>
      <c r="E55" s="485">
        <f t="shared" si="5"/>
        <v>24082.60465116279</v>
      </c>
      <c r="F55" s="486">
        <f t="shared" si="16"/>
        <v>42749.028085867991</v>
      </c>
      <c r="G55" s="487">
        <f t="shared" si="17"/>
        <v>30386.579275814387</v>
      </c>
      <c r="H55" s="456">
        <f t="shared" si="18"/>
        <v>30386.579275814387</v>
      </c>
      <c r="I55" s="476">
        <f t="shared" si="6"/>
        <v>0</v>
      </c>
      <c r="J55" s="476"/>
      <c r="K55" s="488"/>
      <c r="L55" s="479">
        <f t="shared" si="19"/>
        <v>0</v>
      </c>
      <c r="M55" s="488"/>
      <c r="N55" s="479">
        <f t="shared" si="11"/>
        <v>0</v>
      </c>
      <c r="O55" s="479">
        <f t="shared" si="12"/>
        <v>0</v>
      </c>
      <c r="P55" s="243"/>
    </row>
    <row r="56" spans="2:16" ht="12.5">
      <c r="B56" s="160" t="str">
        <f t="shared" si="7"/>
        <v/>
      </c>
      <c r="C56" s="473">
        <f>IF(D11="","-",+C55+1)</f>
        <v>2052</v>
      </c>
      <c r="D56" s="486">
        <f>IF(F55+SUM(E$17:E55)=D$10,F55,D$10-SUM(E$17:E55))</f>
        <v>42749.028085867991</v>
      </c>
      <c r="E56" s="485">
        <f t="shared" si="5"/>
        <v>24082.60465116279</v>
      </c>
      <c r="F56" s="486">
        <f t="shared" si="16"/>
        <v>18666.423434705201</v>
      </c>
      <c r="G56" s="487">
        <f t="shared" si="17"/>
        <v>27615.723041212776</v>
      </c>
      <c r="H56" s="456">
        <f t="shared" si="18"/>
        <v>27615.723041212776</v>
      </c>
      <c r="I56" s="476">
        <f t="shared" si="6"/>
        <v>0</v>
      </c>
      <c r="J56" s="476"/>
      <c r="K56" s="488"/>
      <c r="L56" s="479">
        <f t="shared" si="19"/>
        <v>0</v>
      </c>
      <c r="M56" s="488"/>
      <c r="N56" s="479">
        <f t="shared" si="11"/>
        <v>0</v>
      </c>
      <c r="O56" s="479">
        <f t="shared" si="12"/>
        <v>0</v>
      </c>
      <c r="P56" s="243"/>
    </row>
    <row r="57" spans="2:16" ht="12.5">
      <c r="B57" s="160" t="str">
        <f t="shared" si="7"/>
        <v/>
      </c>
      <c r="C57" s="473">
        <f>IF(D11="","-",+C56+1)</f>
        <v>2053</v>
      </c>
      <c r="D57" s="486">
        <f>IF(F56+SUM(E$17:E56)=D$10,F56,D$10-SUM(E$17:E56))</f>
        <v>18666.423434705201</v>
      </c>
      <c r="E57" s="485">
        <f t="shared" si="5"/>
        <v>18666.423434705201</v>
      </c>
      <c r="F57" s="486">
        <f t="shared" si="16"/>
        <v>0</v>
      </c>
      <c r="G57" s="487">
        <f t="shared" si="17"/>
        <v>19740.268571079792</v>
      </c>
      <c r="H57" s="456">
        <f t="shared" si="18"/>
        <v>19740.268571079792</v>
      </c>
      <c r="I57" s="476">
        <f t="shared" si="6"/>
        <v>0</v>
      </c>
      <c r="J57" s="476"/>
      <c r="K57" s="488"/>
      <c r="L57" s="479">
        <f t="shared" si="19"/>
        <v>0</v>
      </c>
      <c r="M57" s="488"/>
      <c r="N57" s="479">
        <f t="shared" si="11"/>
        <v>0</v>
      </c>
      <c r="O57" s="479">
        <f t="shared" si="12"/>
        <v>0</v>
      </c>
      <c r="P57" s="243"/>
    </row>
    <row r="58" spans="2:16" ht="12.5">
      <c r="B58" s="160" t="str">
        <f t="shared" si="7"/>
        <v/>
      </c>
      <c r="C58" s="473">
        <f>IF(D11="","-",+C57+1)</f>
        <v>2054</v>
      </c>
      <c r="D58" s="486">
        <f>IF(F57+SUM(E$17:E57)=D$10,F57,D$10-SUM(E$17:E57))</f>
        <v>0</v>
      </c>
      <c r="E58" s="485">
        <f t="shared" si="5"/>
        <v>0</v>
      </c>
      <c r="F58" s="486">
        <f t="shared" si="16"/>
        <v>0</v>
      </c>
      <c r="G58" s="487">
        <f t="shared" si="17"/>
        <v>0</v>
      </c>
      <c r="H58" s="456">
        <f t="shared" si="18"/>
        <v>0</v>
      </c>
      <c r="I58" s="476">
        <f t="shared" si="6"/>
        <v>0</v>
      </c>
      <c r="J58" s="476"/>
      <c r="K58" s="488"/>
      <c r="L58" s="479">
        <f t="shared" si="19"/>
        <v>0</v>
      </c>
      <c r="M58" s="488"/>
      <c r="N58" s="479">
        <f t="shared" si="11"/>
        <v>0</v>
      </c>
      <c r="O58" s="479">
        <f t="shared" si="12"/>
        <v>0</v>
      </c>
      <c r="P58" s="243"/>
    </row>
    <row r="59" spans="2:16" ht="12.5">
      <c r="B59" s="160" t="str">
        <f t="shared" si="7"/>
        <v/>
      </c>
      <c r="C59" s="473">
        <f>IF(D11="","-",+C58+1)</f>
        <v>2055</v>
      </c>
      <c r="D59" s="486">
        <f>IF(F58+SUM(E$17:E58)=D$10,F58,D$10-SUM(E$17:E58))</f>
        <v>0</v>
      </c>
      <c r="E59" s="485">
        <f t="shared" si="5"/>
        <v>0</v>
      </c>
      <c r="F59" s="486">
        <f t="shared" si="16"/>
        <v>0</v>
      </c>
      <c r="G59" s="487">
        <f t="shared" si="17"/>
        <v>0</v>
      </c>
      <c r="H59" s="456">
        <f t="shared" si="18"/>
        <v>0</v>
      </c>
      <c r="I59" s="476">
        <f t="shared" si="6"/>
        <v>0</v>
      </c>
      <c r="J59" s="476"/>
      <c r="K59" s="488"/>
      <c r="L59" s="479">
        <f t="shared" si="19"/>
        <v>0</v>
      </c>
      <c r="M59" s="488"/>
      <c r="N59" s="479">
        <f t="shared" si="11"/>
        <v>0</v>
      </c>
      <c r="O59" s="479">
        <f t="shared" si="12"/>
        <v>0</v>
      </c>
      <c r="P59" s="243"/>
    </row>
    <row r="60" spans="2:16" ht="12.5">
      <c r="B60" s="160" t="str">
        <f t="shared" si="7"/>
        <v/>
      </c>
      <c r="C60" s="473">
        <f>IF(D11="","-",+C59+1)</f>
        <v>2056</v>
      </c>
      <c r="D60" s="486">
        <f>IF(F59+SUM(E$17:E59)=D$10,F59,D$10-SUM(E$17:E59))</f>
        <v>0</v>
      </c>
      <c r="E60" s="485">
        <f t="shared" si="5"/>
        <v>0</v>
      </c>
      <c r="F60" s="486">
        <f t="shared" si="16"/>
        <v>0</v>
      </c>
      <c r="G60" s="487">
        <f t="shared" si="17"/>
        <v>0</v>
      </c>
      <c r="H60" s="456">
        <f t="shared" si="18"/>
        <v>0</v>
      </c>
      <c r="I60" s="476">
        <f t="shared" si="6"/>
        <v>0</v>
      </c>
      <c r="J60" s="476"/>
      <c r="K60" s="488"/>
      <c r="L60" s="479">
        <f t="shared" si="19"/>
        <v>0</v>
      </c>
      <c r="M60" s="488"/>
      <c r="N60" s="479">
        <f t="shared" si="11"/>
        <v>0</v>
      </c>
      <c r="O60" s="479">
        <f t="shared" si="12"/>
        <v>0</v>
      </c>
      <c r="P60" s="243"/>
    </row>
    <row r="61" spans="2:16" ht="12.5">
      <c r="B61" s="160" t="str">
        <f t="shared" si="7"/>
        <v/>
      </c>
      <c r="C61" s="473">
        <f>IF(D11="","-",+C60+1)</f>
        <v>2057</v>
      </c>
      <c r="D61" s="486">
        <f>IF(F60+SUM(E$17:E60)=D$10,F60,D$10-SUM(E$17:E60))</f>
        <v>0</v>
      </c>
      <c r="E61" s="485">
        <f t="shared" si="5"/>
        <v>0</v>
      </c>
      <c r="F61" s="486">
        <f t="shared" si="16"/>
        <v>0</v>
      </c>
      <c r="G61" s="487">
        <f t="shared" si="17"/>
        <v>0</v>
      </c>
      <c r="H61" s="456">
        <f t="shared" si="18"/>
        <v>0</v>
      </c>
      <c r="I61" s="476">
        <f t="shared" si="6"/>
        <v>0</v>
      </c>
      <c r="J61" s="476"/>
      <c r="K61" s="488"/>
      <c r="L61" s="479">
        <f t="shared" si="19"/>
        <v>0</v>
      </c>
      <c r="M61" s="488"/>
      <c r="N61" s="479">
        <f t="shared" si="11"/>
        <v>0</v>
      </c>
      <c r="O61" s="479">
        <f t="shared" si="12"/>
        <v>0</v>
      </c>
      <c r="P61" s="243"/>
    </row>
    <row r="62" spans="2:16" ht="12.5">
      <c r="B62" s="160" t="str">
        <f t="shared" si="7"/>
        <v/>
      </c>
      <c r="C62" s="473">
        <f>IF(D11="","-",+C61+1)</f>
        <v>2058</v>
      </c>
      <c r="D62" s="486">
        <f>IF(F61+SUM(E$17:E61)=D$10,F61,D$10-SUM(E$17:E61))</f>
        <v>0</v>
      </c>
      <c r="E62" s="485">
        <f t="shared" si="5"/>
        <v>0</v>
      </c>
      <c r="F62" s="486">
        <f t="shared" si="16"/>
        <v>0</v>
      </c>
      <c r="G62" s="487">
        <f t="shared" si="17"/>
        <v>0</v>
      </c>
      <c r="H62" s="456">
        <f t="shared" si="18"/>
        <v>0</v>
      </c>
      <c r="I62" s="476">
        <f t="shared" si="6"/>
        <v>0</v>
      </c>
      <c r="J62" s="476"/>
      <c r="K62" s="488"/>
      <c r="L62" s="479">
        <f t="shared" si="19"/>
        <v>0</v>
      </c>
      <c r="M62" s="488"/>
      <c r="N62" s="479">
        <f t="shared" si="11"/>
        <v>0</v>
      </c>
      <c r="O62" s="479">
        <f t="shared" si="12"/>
        <v>0</v>
      </c>
      <c r="P62" s="243"/>
    </row>
    <row r="63" spans="2:16" ht="12.5">
      <c r="B63" s="160" t="str">
        <f t="shared" si="7"/>
        <v/>
      </c>
      <c r="C63" s="473">
        <f>IF(D11="","-",+C62+1)</f>
        <v>2059</v>
      </c>
      <c r="D63" s="486">
        <f>IF(F62+SUM(E$17:E62)=D$10,F62,D$10-SUM(E$17:E62))</f>
        <v>0</v>
      </c>
      <c r="E63" s="485">
        <f t="shared" si="5"/>
        <v>0</v>
      </c>
      <c r="F63" s="486">
        <f t="shared" si="16"/>
        <v>0</v>
      </c>
      <c r="G63" s="487">
        <f t="shared" si="17"/>
        <v>0</v>
      </c>
      <c r="H63" s="456">
        <f t="shared" si="18"/>
        <v>0</v>
      </c>
      <c r="I63" s="476">
        <f t="shared" si="6"/>
        <v>0</v>
      </c>
      <c r="J63" s="476"/>
      <c r="K63" s="488"/>
      <c r="L63" s="479">
        <f t="shared" si="19"/>
        <v>0</v>
      </c>
      <c r="M63" s="488"/>
      <c r="N63" s="479">
        <f t="shared" si="11"/>
        <v>0</v>
      </c>
      <c r="O63" s="479">
        <f t="shared" si="12"/>
        <v>0</v>
      </c>
      <c r="P63" s="243"/>
    </row>
    <row r="64" spans="2:16" ht="12.5">
      <c r="B64" s="160" t="str">
        <f t="shared" si="7"/>
        <v/>
      </c>
      <c r="C64" s="473">
        <f>IF(D11="","-",+C63+1)</f>
        <v>2060</v>
      </c>
      <c r="D64" s="486">
        <f>IF(F63+SUM(E$17:E63)=D$10,F63,D$10-SUM(E$17:E63))</f>
        <v>0</v>
      </c>
      <c r="E64" s="485">
        <f t="shared" si="5"/>
        <v>0</v>
      </c>
      <c r="F64" s="486">
        <f t="shared" si="16"/>
        <v>0</v>
      </c>
      <c r="G64" s="487">
        <f t="shared" si="17"/>
        <v>0</v>
      </c>
      <c r="H64" s="456">
        <f t="shared" si="18"/>
        <v>0</v>
      </c>
      <c r="I64" s="476">
        <f t="shared" si="6"/>
        <v>0</v>
      </c>
      <c r="J64" s="476"/>
      <c r="K64" s="488"/>
      <c r="L64" s="479">
        <f t="shared" si="19"/>
        <v>0</v>
      </c>
      <c r="M64" s="488"/>
      <c r="N64" s="479">
        <f t="shared" si="11"/>
        <v>0</v>
      </c>
      <c r="O64" s="479">
        <f t="shared" si="12"/>
        <v>0</v>
      </c>
      <c r="P64" s="243"/>
    </row>
    <row r="65" spans="2:16" ht="12.5">
      <c r="B65" s="160" t="str">
        <f t="shared" si="7"/>
        <v/>
      </c>
      <c r="C65" s="473">
        <f>IF(D11="","-",+C64+1)</f>
        <v>2061</v>
      </c>
      <c r="D65" s="486">
        <f>IF(F64+SUM(E$17:E64)=D$10,F64,D$10-SUM(E$17:E64))</f>
        <v>0</v>
      </c>
      <c r="E65" s="485">
        <f t="shared" si="5"/>
        <v>0</v>
      </c>
      <c r="F65" s="486">
        <f t="shared" si="16"/>
        <v>0</v>
      </c>
      <c r="G65" s="487">
        <f t="shared" si="17"/>
        <v>0</v>
      </c>
      <c r="H65" s="456">
        <f t="shared" si="18"/>
        <v>0</v>
      </c>
      <c r="I65" s="476">
        <f t="shared" si="6"/>
        <v>0</v>
      </c>
      <c r="J65" s="476"/>
      <c r="K65" s="488"/>
      <c r="L65" s="479">
        <f t="shared" si="19"/>
        <v>0</v>
      </c>
      <c r="M65" s="488"/>
      <c r="N65" s="479">
        <f t="shared" si="11"/>
        <v>0</v>
      </c>
      <c r="O65" s="479">
        <f t="shared" si="12"/>
        <v>0</v>
      </c>
      <c r="P65" s="243"/>
    </row>
    <row r="66" spans="2:16" ht="12.5">
      <c r="B66" s="160" t="str">
        <f t="shared" si="7"/>
        <v/>
      </c>
      <c r="C66" s="473">
        <f>IF(D11="","-",+C65+1)</f>
        <v>2062</v>
      </c>
      <c r="D66" s="486">
        <f>IF(F65+SUM(E$17:E65)=D$10,F65,D$10-SUM(E$17:E65))</f>
        <v>0</v>
      </c>
      <c r="E66" s="485">
        <f t="shared" si="5"/>
        <v>0</v>
      </c>
      <c r="F66" s="486">
        <f t="shared" si="16"/>
        <v>0</v>
      </c>
      <c r="G66" s="487">
        <f t="shared" si="17"/>
        <v>0</v>
      </c>
      <c r="H66" s="456">
        <f t="shared" si="18"/>
        <v>0</v>
      </c>
      <c r="I66" s="476">
        <f t="shared" si="6"/>
        <v>0</v>
      </c>
      <c r="J66" s="476"/>
      <c r="K66" s="488"/>
      <c r="L66" s="479">
        <f t="shared" si="19"/>
        <v>0</v>
      </c>
      <c r="M66" s="488"/>
      <c r="N66" s="479">
        <f t="shared" si="11"/>
        <v>0</v>
      </c>
      <c r="O66" s="479">
        <f t="shared" si="12"/>
        <v>0</v>
      </c>
      <c r="P66" s="243"/>
    </row>
    <row r="67" spans="2:16" ht="12.5">
      <c r="B67" s="160" t="str">
        <f t="shared" si="7"/>
        <v/>
      </c>
      <c r="C67" s="473">
        <f>IF(D11="","-",+C66+1)</f>
        <v>2063</v>
      </c>
      <c r="D67" s="486">
        <f>IF(F66+SUM(E$17:E66)=D$10,F66,D$10-SUM(E$17:E66))</f>
        <v>0</v>
      </c>
      <c r="E67" s="485">
        <f t="shared" si="5"/>
        <v>0</v>
      </c>
      <c r="F67" s="486">
        <f t="shared" si="16"/>
        <v>0</v>
      </c>
      <c r="G67" s="487">
        <f t="shared" si="17"/>
        <v>0</v>
      </c>
      <c r="H67" s="456">
        <f t="shared" si="18"/>
        <v>0</v>
      </c>
      <c r="I67" s="476">
        <f t="shared" si="6"/>
        <v>0</v>
      </c>
      <c r="J67" s="476"/>
      <c r="K67" s="488"/>
      <c r="L67" s="479">
        <f t="shared" si="19"/>
        <v>0</v>
      </c>
      <c r="M67" s="488"/>
      <c r="N67" s="479">
        <f t="shared" si="11"/>
        <v>0</v>
      </c>
      <c r="O67" s="479">
        <f t="shared" si="12"/>
        <v>0</v>
      </c>
      <c r="P67" s="243"/>
    </row>
    <row r="68" spans="2:16" ht="12.5">
      <c r="B68" s="160" t="str">
        <f t="shared" si="7"/>
        <v/>
      </c>
      <c r="C68" s="473">
        <f>IF(D11="","-",+C67+1)</f>
        <v>2064</v>
      </c>
      <c r="D68" s="486">
        <f>IF(F67+SUM(E$17:E67)=D$10,F67,D$10-SUM(E$17:E67))</f>
        <v>0</v>
      </c>
      <c r="E68" s="485">
        <f t="shared" si="5"/>
        <v>0</v>
      </c>
      <c r="F68" s="486">
        <f t="shared" si="16"/>
        <v>0</v>
      </c>
      <c r="G68" s="487">
        <f t="shared" si="17"/>
        <v>0</v>
      </c>
      <c r="H68" s="456">
        <f t="shared" si="18"/>
        <v>0</v>
      </c>
      <c r="I68" s="476">
        <f t="shared" si="6"/>
        <v>0</v>
      </c>
      <c r="J68" s="476"/>
      <c r="K68" s="488"/>
      <c r="L68" s="479">
        <f t="shared" si="19"/>
        <v>0</v>
      </c>
      <c r="M68" s="488"/>
      <c r="N68" s="479">
        <f t="shared" si="11"/>
        <v>0</v>
      </c>
      <c r="O68" s="479">
        <f t="shared" si="12"/>
        <v>0</v>
      </c>
      <c r="P68" s="243"/>
    </row>
    <row r="69" spans="2:16" ht="12.5">
      <c r="B69" s="160" t="str">
        <f t="shared" si="7"/>
        <v/>
      </c>
      <c r="C69" s="473">
        <f>IF(D11="","-",+C68+1)</f>
        <v>2065</v>
      </c>
      <c r="D69" s="486">
        <f>IF(F68+SUM(E$17:E68)=D$10,F68,D$10-SUM(E$17:E68))</f>
        <v>0</v>
      </c>
      <c r="E69" s="485">
        <f t="shared" si="5"/>
        <v>0</v>
      </c>
      <c r="F69" s="486">
        <f t="shared" si="16"/>
        <v>0</v>
      </c>
      <c r="G69" s="487">
        <f t="shared" si="17"/>
        <v>0</v>
      </c>
      <c r="H69" s="456">
        <f t="shared" si="18"/>
        <v>0</v>
      </c>
      <c r="I69" s="476">
        <f t="shared" si="6"/>
        <v>0</v>
      </c>
      <c r="J69" s="476"/>
      <c r="K69" s="488"/>
      <c r="L69" s="479">
        <f t="shared" si="19"/>
        <v>0</v>
      </c>
      <c r="M69" s="488"/>
      <c r="N69" s="479">
        <f t="shared" si="11"/>
        <v>0</v>
      </c>
      <c r="O69" s="479">
        <f t="shared" si="12"/>
        <v>0</v>
      </c>
      <c r="P69" s="243"/>
    </row>
    <row r="70" spans="2:16" ht="12.5">
      <c r="B70" s="160" t="str">
        <f t="shared" si="7"/>
        <v/>
      </c>
      <c r="C70" s="473">
        <f>IF(D11="","-",+C69+1)</f>
        <v>2066</v>
      </c>
      <c r="D70" s="486">
        <f>IF(F69+SUM(E$17:E69)=D$10,F69,D$10-SUM(E$17:E69))</f>
        <v>0</v>
      </c>
      <c r="E70" s="485">
        <f t="shared" si="5"/>
        <v>0</v>
      </c>
      <c r="F70" s="486">
        <f t="shared" si="16"/>
        <v>0</v>
      </c>
      <c r="G70" s="487">
        <f t="shared" si="17"/>
        <v>0</v>
      </c>
      <c r="H70" s="456">
        <f t="shared" si="18"/>
        <v>0</v>
      </c>
      <c r="I70" s="476">
        <f t="shared" si="6"/>
        <v>0</v>
      </c>
      <c r="J70" s="476"/>
      <c r="K70" s="488"/>
      <c r="L70" s="479">
        <f t="shared" si="19"/>
        <v>0</v>
      </c>
      <c r="M70" s="488"/>
      <c r="N70" s="479">
        <f t="shared" si="11"/>
        <v>0</v>
      </c>
      <c r="O70" s="479">
        <f t="shared" si="12"/>
        <v>0</v>
      </c>
      <c r="P70" s="243"/>
    </row>
    <row r="71" spans="2:16" ht="12.5">
      <c r="B71" s="160" t="str">
        <f t="shared" si="7"/>
        <v/>
      </c>
      <c r="C71" s="473">
        <f>IF(D11="","-",+C70+1)</f>
        <v>2067</v>
      </c>
      <c r="D71" s="486">
        <f>IF(F70+SUM(E$17:E70)=D$10,F70,D$10-SUM(E$17:E70))</f>
        <v>0</v>
      </c>
      <c r="E71" s="485">
        <f t="shared" si="5"/>
        <v>0</v>
      </c>
      <c r="F71" s="486">
        <f t="shared" si="16"/>
        <v>0</v>
      </c>
      <c r="G71" s="487">
        <f t="shared" si="17"/>
        <v>0</v>
      </c>
      <c r="H71" s="456">
        <f t="shared" si="18"/>
        <v>0</v>
      </c>
      <c r="I71" s="476">
        <f t="shared" si="6"/>
        <v>0</v>
      </c>
      <c r="J71" s="476"/>
      <c r="K71" s="488"/>
      <c r="L71" s="479">
        <f t="shared" si="19"/>
        <v>0</v>
      </c>
      <c r="M71" s="488"/>
      <c r="N71" s="479">
        <f t="shared" si="11"/>
        <v>0</v>
      </c>
      <c r="O71" s="479">
        <f t="shared" si="12"/>
        <v>0</v>
      </c>
      <c r="P71" s="243"/>
    </row>
    <row r="72" spans="2:16" ht="13" thickBot="1">
      <c r="B72" s="160" t="str">
        <f t="shared" si="7"/>
        <v/>
      </c>
      <c r="C72" s="490">
        <f>IF(D11="","-",+C71+1)</f>
        <v>2068</v>
      </c>
      <c r="D72" s="491">
        <f>IF(F71+SUM(E$17:E71)=D$10,F71,D$10-SUM(E$17:E71))</f>
        <v>0</v>
      </c>
      <c r="E72" s="492">
        <f t="shared" si="5"/>
        <v>0</v>
      </c>
      <c r="F72" s="491">
        <f t="shared" si="16"/>
        <v>0</v>
      </c>
      <c r="G72" s="491">
        <f t="shared" si="17"/>
        <v>0</v>
      </c>
      <c r="H72" s="491">
        <f t="shared" si="18"/>
        <v>0</v>
      </c>
      <c r="I72" s="496">
        <f t="shared" si="6"/>
        <v>0</v>
      </c>
      <c r="J72" s="491"/>
      <c r="K72" s="495"/>
      <c r="L72" s="496">
        <f t="shared" si="19"/>
        <v>0</v>
      </c>
      <c r="M72" s="495"/>
      <c r="N72" s="496">
        <f t="shared" si="11"/>
        <v>0</v>
      </c>
      <c r="O72" s="496">
        <f t="shared" si="12"/>
        <v>0</v>
      </c>
      <c r="P72" s="243"/>
    </row>
    <row r="73" spans="2:16" ht="12.5">
      <c r="C73" s="347" t="s">
        <v>77</v>
      </c>
      <c r="D73" s="348"/>
      <c r="E73" s="348">
        <f>SUM(E17:E72)</f>
        <v>1035551.9999999998</v>
      </c>
      <c r="F73" s="348"/>
      <c r="G73" s="348">
        <f>SUM(G17:G72)</f>
        <v>5337695.4662665222</v>
      </c>
      <c r="H73" s="348">
        <f>SUM(H17:H72)</f>
        <v>5337695.4662665222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14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111352.31037205369</v>
      </c>
      <c r="N87" s="509">
        <f>IF(J92&lt;D11,0,VLOOKUP(J92,C17:O72,11))</f>
        <v>111352.31037205369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124705.62019457563</v>
      </c>
      <c r="N88" s="513">
        <f>IF(J92&lt;D11,0,VLOOKUP(J92,C99:P154,7))</f>
        <v>124705.62019457563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Ashdown West - Craig Junction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13353.309822521944</v>
      </c>
      <c r="N89" s="518">
        <f>+N88-N87</f>
        <v>13353.309822521944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TP2009092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+D10</f>
        <v>1035552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605" t="s">
        <v>271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+D12</f>
        <v>2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24083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 t="str">
        <f>IF(D93= "","-",D93)</f>
        <v>2013</v>
      </c>
      <c r="D99" s="585">
        <v>0</v>
      </c>
      <c r="E99" s="586">
        <v>16595</v>
      </c>
      <c r="F99" s="587">
        <v>1018741</v>
      </c>
      <c r="G99" s="606">
        <v>509371</v>
      </c>
      <c r="H99" s="607">
        <v>89910</v>
      </c>
      <c r="I99" s="608">
        <v>89910</v>
      </c>
      <c r="J99" s="479">
        <v>0</v>
      </c>
      <c r="K99" s="479"/>
      <c r="L99" s="477">
        <f t="shared" ref="L99:L104" si="20">H99</f>
        <v>89910</v>
      </c>
      <c r="M99" s="349">
        <f t="shared" ref="M99:M104" si="21">IF(L99&lt;&gt;0,+H99-L99,0)</f>
        <v>0</v>
      </c>
      <c r="N99" s="477">
        <f t="shared" ref="N99:N104" si="22">I99</f>
        <v>89910</v>
      </c>
      <c r="O99" s="476">
        <f t="shared" ref="O99:O104" si="23">IF(N99&lt;&gt;0,+I99-N99,0)</f>
        <v>0</v>
      </c>
      <c r="P99" s="479">
        <f t="shared" ref="P99:P104" si="24">+O99-M99</f>
        <v>0</v>
      </c>
    </row>
    <row r="100" spans="1:16" ht="12.5">
      <c r="B100" s="160" t="str">
        <f>IF(D100=F99,"","IU")</f>
        <v>IU</v>
      </c>
      <c r="C100" s="473">
        <f>IF(D93="","-",+C99+1)</f>
        <v>2014</v>
      </c>
      <c r="D100" s="585">
        <v>1018957</v>
      </c>
      <c r="E100" s="586">
        <v>19914</v>
      </c>
      <c r="F100" s="587">
        <v>999043</v>
      </c>
      <c r="G100" s="587">
        <v>1009000</v>
      </c>
      <c r="H100" s="586">
        <v>161775</v>
      </c>
      <c r="I100" s="588">
        <v>161775</v>
      </c>
      <c r="J100" s="479">
        <f>+I100-H100</f>
        <v>0</v>
      </c>
      <c r="K100" s="479"/>
      <c r="L100" s="477">
        <f t="shared" si="20"/>
        <v>161775</v>
      </c>
      <c r="M100" s="349">
        <f t="shared" si="21"/>
        <v>0</v>
      </c>
      <c r="N100" s="477">
        <f t="shared" si="22"/>
        <v>161775</v>
      </c>
      <c r="O100" s="476">
        <f t="shared" si="23"/>
        <v>0</v>
      </c>
      <c r="P100" s="479">
        <f t="shared" si="24"/>
        <v>0</v>
      </c>
    </row>
    <row r="101" spans="1:16" ht="12.5">
      <c r="B101" s="160" t="str">
        <f t="shared" ref="B101:B154" si="25">IF(D101=F100,"","IU")</f>
        <v/>
      </c>
      <c r="C101" s="473">
        <f>IF(D93="","-",+C100+1)</f>
        <v>2015</v>
      </c>
      <c r="D101" s="585">
        <v>999043</v>
      </c>
      <c r="E101" s="586">
        <v>19914</v>
      </c>
      <c r="F101" s="587">
        <v>979129</v>
      </c>
      <c r="G101" s="587">
        <v>989086</v>
      </c>
      <c r="H101" s="586">
        <v>154866.83205665913</v>
      </c>
      <c r="I101" s="588">
        <v>154866.83205665913</v>
      </c>
      <c r="J101" s="479">
        <f>+I101-H101</f>
        <v>0</v>
      </c>
      <c r="K101" s="479"/>
      <c r="L101" s="477">
        <f t="shared" si="20"/>
        <v>154866.83205665913</v>
      </c>
      <c r="M101" s="349">
        <f t="shared" si="21"/>
        <v>0</v>
      </c>
      <c r="N101" s="477">
        <f t="shared" si="22"/>
        <v>154866.83205665913</v>
      </c>
      <c r="O101" s="476">
        <f t="shared" si="23"/>
        <v>0</v>
      </c>
      <c r="P101" s="479">
        <f t="shared" si="24"/>
        <v>0</v>
      </c>
    </row>
    <row r="102" spans="1:16" ht="12.5">
      <c r="B102" s="160" t="str">
        <f t="shared" si="25"/>
        <v/>
      </c>
      <c r="C102" s="473">
        <f>IF(D93="","-",+C101+1)</f>
        <v>2016</v>
      </c>
      <c r="D102" s="585">
        <v>979129</v>
      </c>
      <c r="E102" s="586">
        <v>22512</v>
      </c>
      <c r="F102" s="587">
        <v>956617</v>
      </c>
      <c r="G102" s="587">
        <v>967873</v>
      </c>
      <c r="H102" s="586">
        <v>147286.07261026395</v>
      </c>
      <c r="I102" s="588">
        <v>147286.07261026395</v>
      </c>
      <c r="J102" s="479">
        <f t="shared" ref="J102:J154" si="26">+I102-H102</f>
        <v>0</v>
      </c>
      <c r="K102" s="479"/>
      <c r="L102" s="477">
        <f t="shared" si="20"/>
        <v>147286.07261026395</v>
      </c>
      <c r="M102" s="349">
        <f t="shared" si="21"/>
        <v>0</v>
      </c>
      <c r="N102" s="477">
        <f t="shared" si="22"/>
        <v>147286.07261026395</v>
      </c>
      <c r="O102" s="476">
        <f t="shared" si="23"/>
        <v>0</v>
      </c>
      <c r="P102" s="479">
        <f t="shared" si="24"/>
        <v>0</v>
      </c>
    </row>
    <row r="103" spans="1:16" ht="12.5">
      <c r="B103" s="160" t="str">
        <f t="shared" si="25"/>
        <v/>
      </c>
      <c r="C103" s="473">
        <f>IF(D93="","-",+C102+1)</f>
        <v>2017</v>
      </c>
      <c r="D103" s="585">
        <v>956617</v>
      </c>
      <c r="E103" s="586">
        <v>22512</v>
      </c>
      <c r="F103" s="587">
        <v>934105</v>
      </c>
      <c r="G103" s="587">
        <v>945361</v>
      </c>
      <c r="H103" s="586">
        <v>142433.42657860837</v>
      </c>
      <c r="I103" s="588">
        <v>142433.42657860837</v>
      </c>
      <c r="J103" s="479">
        <f t="shared" si="26"/>
        <v>0</v>
      </c>
      <c r="K103" s="479"/>
      <c r="L103" s="477">
        <f t="shared" si="20"/>
        <v>142433.42657860837</v>
      </c>
      <c r="M103" s="349">
        <f t="shared" si="21"/>
        <v>0</v>
      </c>
      <c r="N103" s="477">
        <f t="shared" si="22"/>
        <v>142433.42657860837</v>
      </c>
      <c r="O103" s="476">
        <f t="shared" si="23"/>
        <v>0</v>
      </c>
      <c r="P103" s="479">
        <f t="shared" si="24"/>
        <v>0</v>
      </c>
    </row>
    <row r="104" spans="1:16" ht="12.5">
      <c r="B104" s="160" t="str">
        <f t="shared" si="25"/>
        <v/>
      </c>
      <c r="C104" s="473">
        <f>IF(D93="","-",+C103+1)</f>
        <v>2018</v>
      </c>
      <c r="D104" s="585">
        <v>934105</v>
      </c>
      <c r="E104" s="586">
        <v>24083</v>
      </c>
      <c r="F104" s="587">
        <v>910022</v>
      </c>
      <c r="G104" s="587">
        <v>922063.5</v>
      </c>
      <c r="H104" s="586">
        <v>118811.71632291189</v>
      </c>
      <c r="I104" s="588">
        <v>118811.71632291189</v>
      </c>
      <c r="J104" s="479">
        <f t="shared" si="26"/>
        <v>0</v>
      </c>
      <c r="K104" s="479"/>
      <c r="L104" s="477">
        <f t="shared" si="20"/>
        <v>118811.71632291189</v>
      </c>
      <c r="M104" s="349">
        <f t="shared" si="21"/>
        <v>0</v>
      </c>
      <c r="N104" s="477">
        <f t="shared" si="22"/>
        <v>118811.71632291189</v>
      </c>
      <c r="O104" s="476">
        <f t="shared" si="23"/>
        <v>0</v>
      </c>
      <c r="P104" s="479">
        <f t="shared" si="24"/>
        <v>0</v>
      </c>
    </row>
    <row r="105" spans="1:16" ht="12.5">
      <c r="B105" s="160" t="str">
        <f t="shared" si="25"/>
        <v/>
      </c>
      <c r="C105" s="473">
        <f>IF(D93="","-",+C104+1)</f>
        <v>2019</v>
      </c>
      <c r="D105" s="585">
        <v>910022</v>
      </c>
      <c r="E105" s="586">
        <v>25257</v>
      </c>
      <c r="F105" s="587">
        <v>884765</v>
      </c>
      <c r="G105" s="587">
        <v>897393.5</v>
      </c>
      <c r="H105" s="586">
        <v>117790.85676358812</v>
      </c>
      <c r="I105" s="588">
        <v>117790.85676358812</v>
      </c>
      <c r="J105" s="479">
        <f t="shared" si="26"/>
        <v>0</v>
      </c>
      <c r="K105" s="479"/>
      <c r="L105" s="477">
        <f t="shared" ref="L105" si="27">H105</f>
        <v>117790.85676358812</v>
      </c>
      <c r="M105" s="349">
        <f t="shared" ref="M105" si="28">IF(L105&lt;&gt;0,+H105-L105,0)</f>
        <v>0</v>
      </c>
      <c r="N105" s="477">
        <f t="shared" ref="N105" si="29">I105</f>
        <v>117790.85676358812</v>
      </c>
      <c r="O105" s="479">
        <f t="shared" ref="O105:O130" si="30">IF(N105&lt;&gt;0,+I105-N105,0)</f>
        <v>0</v>
      </c>
      <c r="P105" s="479">
        <f t="shared" ref="P105:P130" si="31">+O105-M105</f>
        <v>0</v>
      </c>
    </row>
    <row r="106" spans="1:16" ht="12.5">
      <c r="B106" s="160" t="str">
        <f t="shared" si="25"/>
        <v/>
      </c>
      <c r="C106" s="473">
        <f>IF(D93="","-",+C105+1)</f>
        <v>2020</v>
      </c>
      <c r="D106" s="347">
        <f>IF(F105+SUM(E$99:E105)=D$92,F105,D$92-SUM(E$99:E105))</f>
        <v>884765</v>
      </c>
      <c r="E106" s="485">
        <f t="shared" ref="E106:E154" si="32">IF(+J$96&lt;F105,J$96,D106)</f>
        <v>24083</v>
      </c>
      <c r="F106" s="486">
        <f t="shared" ref="F106:F154" si="33">+D106-E106</f>
        <v>860682</v>
      </c>
      <c r="G106" s="486">
        <f t="shared" ref="G106:G154" si="34">+(F106+D106)/2</f>
        <v>872723.5</v>
      </c>
      <c r="H106" s="487">
        <f>(D106+F106)/2*J$94+E106</f>
        <v>124705.62019457563</v>
      </c>
      <c r="I106" s="543">
        <f t="shared" ref="I106:I154" si="35">+J$95*G106+E106</f>
        <v>124705.62019457563</v>
      </c>
      <c r="J106" s="479">
        <f t="shared" si="26"/>
        <v>0</v>
      </c>
      <c r="K106" s="479"/>
      <c r="L106" s="488"/>
      <c r="M106" s="479">
        <f t="shared" ref="M106:M130" si="36">IF(L106&lt;&gt;0,+H106-L106,0)</f>
        <v>0</v>
      </c>
      <c r="N106" s="488"/>
      <c r="O106" s="479">
        <f t="shared" si="30"/>
        <v>0</v>
      </c>
      <c r="P106" s="479">
        <f t="shared" si="31"/>
        <v>0</v>
      </c>
    </row>
    <row r="107" spans="1:16" ht="12.5">
      <c r="B107" s="160" t="str">
        <f t="shared" si="25"/>
        <v/>
      </c>
      <c r="C107" s="473">
        <f>IF(D93="","-",+C106+1)</f>
        <v>2021</v>
      </c>
      <c r="D107" s="347">
        <f>IF(F106+SUM(E$99:E106)=D$92,F106,D$92-SUM(E$99:E106))</f>
        <v>860682</v>
      </c>
      <c r="E107" s="485">
        <f t="shared" si="32"/>
        <v>24083</v>
      </c>
      <c r="F107" s="486">
        <f t="shared" si="33"/>
        <v>836599</v>
      </c>
      <c r="G107" s="486">
        <f t="shared" si="34"/>
        <v>848640.5</v>
      </c>
      <c r="H107" s="487">
        <f t="shared" ref="H107:H152" si="37">(D107+F107)/2*J$94+E107</f>
        <v>121928.91650532473</v>
      </c>
      <c r="I107" s="543">
        <f t="shared" ref="I107:I152" si="38">+J$95*G107+E107</f>
        <v>121928.91650532473</v>
      </c>
      <c r="J107" s="479">
        <f t="shared" si="26"/>
        <v>0</v>
      </c>
      <c r="K107" s="479"/>
      <c r="L107" s="488"/>
      <c r="M107" s="479">
        <f t="shared" si="36"/>
        <v>0</v>
      </c>
      <c r="N107" s="488"/>
      <c r="O107" s="479">
        <f t="shared" si="30"/>
        <v>0</v>
      </c>
      <c r="P107" s="479">
        <f t="shared" si="31"/>
        <v>0</v>
      </c>
    </row>
    <row r="108" spans="1:16" ht="12.5">
      <c r="B108" s="160" t="str">
        <f t="shared" si="25"/>
        <v/>
      </c>
      <c r="C108" s="473">
        <f>IF(D93="","-",+C107+1)</f>
        <v>2022</v>
      </c>
      <c r="D108" s="347">
        <f>IF(F107+SUM(E$99:E107)=D$92,F107,D$92-SUM(E$99:E107))</f>
        <v>836599</v>
      </c>
      <c r="E108" s="485">
        <f t="shared" si="32"/>
        <v>24083</v>
      </c>
      <c r="F108" s="486">
        <f t="shared" si="33"/>
        <v>812516</v>
      </c>
      <c r="G108" s="486">
        <f t="shared" si="34"/>
        <v>824557.5</v>
      </c>
      <c r="H108" s="487">
        <f t="shared" si="37"/>
        <v>119152.21281607382</v>
      </c>
      <c r="I108" s="543">
        <f t="shared" si="38"/>
        <v>119152.21281607382</v>
      </c>
      <c r="J108" s="479">
        <f t="shared" si="26"/>
        <v>0</v>
      </c>
      <c r="K108" s="479"/>
      <c r="L108" s="488"/>
      <c r="M108" s="479">
        <f t="shared" si="36"/>
        <v>0</v>
      </c>
      <c r="N108" s="488"/>
      <c r="O108" s="479">
        <f t="shared" si="30"/>
        <v>0</v>
      </c>
      <c r="P108" s="479">
        <f t="shared" si="31"/>
        <v>0</v>
      </c>
    </row>
    <row r="109" spans="1:16" ht="12.5">
      <c r="B109" s="160" t="str">
        <f t="shared" si="25"/>
        <v/>
      </c>
      <c r="C109" s="473">
        <f>IF(D93="","-",+C108+1)</f>
        <v>2023</v>
      </c>
      <c r="D109" s="347">
        <f>IF(F108+SUM(E$99:E108)=D$92,F108,D$92-SUM(E$99:E108))</f>
        <v>812516</v>
      </c>
      <c r="E109" s="485">
        <f t="shared" si="32"/>
        <v>24083</v>
      </c>
      <c r="F109" s="486">
        <f t="shared" si="33"/>
        <v>788433</v>
      </c>
      <c r="G109" s="486">
        <f t="shared" si="34"/>
        <v>800474.5</v>
      </c>
      <c r="H109" s="487">
        <f t="shared" si="37"/>
        <v>116375.5091268229</v>
      </c>
      <c r="I109" s="543">
        <f t="shared" si="38"/>
        <v>116375.5091268229</v>
      </c>
      <c r="J109" s="479">
        <f t="shared" si="26"/>
        <v>0</v>
      </c>
      <c r="K109" s="479"/>
      <c r="L109" s="488"/>
      <c r="M109" s="479">
        <f t="shared" si="36"/>
        <v>0</v>
      </c>
      <c r="N109" s="488"/>
      <c r="O109" s="479">
        <f t="shared" si="30"/>
        <v>0</v>
      </c>
      <c r="P109" s="479">
        <f t="shared" si="31"/>
        <v>0</v>
      </c>
    </row>
    <row r="110" spans="1:16" ht="12.5">
      <c r="B110" s="160" t="str">
        <f t="shared" si="25"/>
        <v/>
      </c>
      <c r="C110" s="473">
        <f>IF(D93="","-",+C109+1)</f>
        <v>2024</v>
      </c>
      <c r="D110" s="347">
        <f>IF(F109+SUM(E$99:E109)=D$92,F109,D$92-SUM(E$99:E109))</f>
        <v>788433</v>
      </c>
      <c r="E110" s="485">
        <f t="shared" si="32"/>
        <v>24083</v>
      </c>
      <c r="F110" s="486">
        <f t="shared" si="33"/>
        <v>764350</v>
      </c>
      <c r="G110" s="486">
        <f t="shared" si="34"/>
        <v>776391.5</v>
      </c>
      <c r="H110" s="487">
        <f t="shared" si="37"/>
        <v>113598.80543757199</v>
      </c>
      <c r="I110" s="543">
        <f t="shared" si="38"/>
        <v>113598.80543757199</v>
      </c>
      <c r="J110" s="479">
        <f t="shared" si="26"/>
        <v>0</v>
      </c>
      <c r="K110" s="479"/>
      <c r="L110" s="488"/>
      <c r="M110" s="479">
        <f t="shared" si="36"/>
        <v>0</v>
      </c>
      <c r="N110" s="488"/>
      <c r="O110" s="479">
        <f t="shared" si="30"/>
        <v>0</v>
      </c>
      <c r="P110" s="479">
        <f t="shared" si="31"/>
        <v>0</v>
      </c>
    </row>
    <row r="111" spans="1:16" ht="12.5">
      <c r="B111" s="160" t="str">
        <f t="shared" si="25"/>
        <v/>
      </c>
      <c r="C111" s="473">
        <f>IF(D93="","-",+C110+1)</f>
        <v>2025</v>
      </c>
      <c r="D111" s="347">
        <f>IF(F110+SUM(E$99:E110)=D$92,F110,D$92-SUM(E$99:E110))</f>
        <v>764350</v>
      </c>
      <c r="E111" s="485">
        <f t="shared" si="32"/>
        <v>24083</v>
      </c>
      <c r="F111" s="486">
        <f t="shared" si="33"/>
        <v>740267</v>
      </c>
      <c r="G111" s="486">
        <f t="shared" si="34"/>
        <v>752308.5</v>
      </c>
      <c r="H111" s="487">
        <f t="shared" si="37"/>
        <v>110822.10174832109</v>
      </c>
      <c r="I111" s="543">
        <f t="shared" si="38"/>
        <v>110822.10174832109</v>
      </c>
      <c r="J111" s="479">
        <f t="shared" si="26"/>
        <v>0</v>
      </c>
      <c r="K111" s="479"/>
      <c r="L111" s="488"/>
      <c r="M111" s="479">
        <f t="shared" si="36"/>
        <v>0</v>
      </c>
      <c r="N111" s="488"/>
      <c r="O111" s="479">
        <f t="shared" si="30"/>
        <v>0</v>
      </c>
      <c r="P111" s="479">
        <f t="shared" si="31"/>
        <v>0</v>
      </c>
    </row>
    <row r="112" spans="1:16" ht="12.5">
      <c r="B112" s="160" t="str">
        <f t="shared" si="25"/>
        <v/>
      </c>
      <c r="C112" s="473">
        <f>IF(D93="","-",+C111+1)</f>
        <v>2026</v>
      </c>
      <c r="D112" s="347">
        <f>IF(F111+SUM(E$99:E111)=D$92,F111,D$92-SUM(E$99:E111))</f>
        <v>740267</v>
      </c>
      <c r="E112" s="485">
        <f t="shared" si="32"/>
        <v>24083</v>
      </c>
      <c r="F112" s="486">
        <f t="shared" si="33"/>
        <v>716184</v>
      </c>
      <c r="G112" s="486">
        <f t="shared" si="34"/>
        <v>728225.5</v>
      </c>
      <c r="H112" s="487">
        <f t="shared" si="37"/>
        <v>108045.39805907018</v>
      </c>
      <c r="I112" s="543">
        <f t="shared" si="38"/>
        <v>108045.39805907018</v>
      </c>
      <c r="J112" s="479">
        <f t="shared" si="26"/>
        <v>0</v>
      </c>
      <c r="K112" s="479"/>
      <c r="L112" s="488"/>
      <c r="M112" s="479">
        <f t="shared" si="36"/>
        <v>0</v>
      </c>
      <c r="N112" s="488"/>
      <c r="O112" s="479">
        <f t="shared" si="30"/>
        <v>0</v>
      </c>
      <c r="P112" s="479">
        <f t="shared" si="31"/>
        <v>0</v>
      </c>
    </row>
    <row r="113" spans="2:16" ht="12.5">
      <c r="B113" s="160" t="str">
        <f t="shared" si="25"/>
        <v/>
      </c>
      <c r="C113" s="473">
        <f>IF(D93="","-",+C112+1)</f>
        <v>2027</v>
      </c>
      <c r="D113" s="347">
        <f>IF(F112+SUM(E$99:E112)=D$92,F112,D$92-SUM(E$99:E112))</f>
        <v>716184</v>
      </c>
      <c r="E113" s="485">
        <f t="shared" si="32"/>
        <v>24083</v>
      </c>
      <c r="F113" s="486">
        <f t="shared" si="33"/>
        <v>692101</v>
      </c>
      <c r="G113" s="486">
        <f t="shared" si="34"/>
        <v>704142.5</v>
      </c>
      <c r="H113" s="487">
        <f t="shared" si="37"/>
        <v>105268.69436981928</v>
      </c>
      <c r="I113" s="543">
        <f t="shared" si="38"/>
        <v>105268.69436981928</v>
      </c>
      <c r="J113" s="479">
        <f t="shared" si="26"/>
        <v>0</v>
      </c>
      <c r="K113" s="479"/>
      <c r="L113" s="488"/>
      <c r="M113" s="479">
        <f t="shared" si="36"/>
        <v>0</v>
      </c>
      <c r="N113" s="488"/>
      <c r="O113" s="479">
        <f t="shared" si="30"/>
        <v>0</v>
      </c>
      <c r="P113" s="479">
        <f t="shared" si="31"/>
        <v>0</v>
      </c>
    </row>
    <row r="114" spans="2:16" ht="12.5">
      <c r="B114" s="160" t="str">
        <f t="shared" si="25"/>
        <v/>
      </c>
      <c r="C114" s="473">
        <f>IF(D93="","-",+C113+1)</f>
        <v>2028</v>
      </c>
      <c r="D114" s="347">
        <f>IF(F113+SUM(E$99:E113)=D$92,F113,D$92-SUM(E$99:E113))</f>
        <v>692101</v>
      </c>
      <c r="E114" s="485">
        <f t="shared" si="32"/>
        <v>24083</v>
      </c>
      <c r="F114" s="486">
        <f t="shared" si="33"/>
        <v>668018</v>
      </c>
      <c r="G114" s="486">
        <f t="shared" si="34"/>
        <v>680059.5</v>
      </c>
      <c r="H114" s="487">
        <f t="shared" si="37"/>
        <v>102491.99068056837</v>
      </c>
      <c r="I114" s="543">
        <f t="shared" si="38"/>
        <v>102491.99068056837</v>
      </c>
      <c r="J114" s="479">
        <f t="shared" si="26"/>
        <v>0</v>
      </c>
      <c r="K114" s="479"/>
      <c r="L114" s="488"/>
      <c r="M114" s="479">
        <f t="shared" si="36"/>
        <v>0</v>
      </c>
      <c r="N114" s="488"/>
      <c r="O114" s="479">
        <f t="shared" si="30"/>
        <v>0</v>
      </c>
      <c r="P114" s="479">
        <f t="shared" si="31"/>
        <v>0</v>
      </c>
    </row>
    <row r="115" spans="2:16" ht="12.5">
      <c r="B115" s="160" t="str">
        <f t="shared" si="25"/>
        <v/>
      </c>
      <c r="C115" s="473">
        <f>IF(D93="","-",+C114+1)</f>
        <v>2029</v>
      </c>
      <c r="D115" s="347">
        <f>IF(F114+SUM(E$99:E114)=D$92,F114,D$92-SUM(E$99:E114))</f>
        <v>668018</v>
      </c>
      <c r="E115" s="485">
        <f t="shared" si="32"/>
        <v>24083</v>
      </c>
      <c r="F115" s="486">
        <f t="shared" si="33"/>
        <v>643935</v>
      </c>
      <c r="G115" s="486">
        <f t="shared" si="34"/>
        <v>655976.5</v>
      </c>
      <c r="H115" s="487">
        <f t="shared" si="37"/>
        <v>99715.286991317451</v>
      </c>
      <c r="I115" s="543">
        <f t="shared" si="38"/>
        <v>99715.286991317451</v>
      </c>
      <c r="J115" s="479">
        <f t="shared" si="26"/>
        <v>0</v>
      </c>
      <c r="K115" s="479"/>
      <c r="L115" s="488"/>
      <c r="M115" s="479">
        <f t="shared" si="36"/>
        <v>0</v>
      </c>
      <c r="N115" s="488"/>
      <c r="O115" s="479">
        <f t="shared" si="30"/>
        <v>0</v>
      </c>
      <c r="P115" s="479">
        <f t="shared" si="31"/>
        <v>0</v>
      </c>
    </row>
    <row r="116" spans="2:16" ht="12.5">
      <c r="B116" s="160" t="str">
        <f t="shared" si="25"/>
        <v/>
      </c>
      <c r="C116" s="473">
        <f>IF(D93="","-",+C115+1)</f>
        <v>2030</v>
      </c>
      <c r="D116" s="347">
        <f>IF(F115+SUM(E$99:E115)=D$92,F115,D$92-SUM(E$99:E115))</f>
        <v>643935</v>
      </c>
      <c r="E116" s="485">
        <f t="shared" si="32"/>
        <v>24083</v>
      </c>
      <c r="F116" s="486">
        <f t="shared" si="33"/>
        <v>619852</v>
      </c>
      <c r="G116" s="486">
        <f t="shared" si="34"/>
        <v>631893.5</v>
      </c>
      <c r="H116" s="487">
        <f t="shared" si="37"/>
        <v>96938.583302066545</v>
      </c>
      <c r="I116" s="543">
        <f t="shared" si="38"/>
        <v>96938.583302066545</v>
      </c>
      <c r="J116" s="479">
        <f t="shared" si="26"/>
        <v>0</v>
      </c>
      <c r="K116" s="479"/>
      <c r="L116" s="488"/>
      <c r="M116" s="479">
        <f t="shared" si="36"/>
        <v>0</v>
      </c>
      <c r="N116" s="488"/>
      <c r="O116" s="479">
        <f t="shared" si="30"/>
        <v>0</v>
      </c>
      <c r="P116" s="479">
        <f t="shared" si="31"/>
        <v>0</v>
      </c>
    </row>
    <row r="117" spans="2:16" ht="12.5">
      <c r="B117" s="160" t="str">
        <f t="shared" si="25"/>
        <v/>
      </c>
      <c r="C117" s="473">
        <f>IF(D93="","-",+C116+1)</f>
        <v>2031</v>
      </c>
      <c r="D117" s="347">
        <f>IF(F116+SUM(E$99:E116)=D$92,F116,D$92-SUM(E$99:E116))</f>
        <v>619852</v>
      </c>
      <c r="E117" s="485">
        <f t="shared" si="32"/>
        <v>24083</v>
      </c>
      <c r="F117" s="486">
        <f t="shared" si="33"/>
        <v>595769</v>
      </c>
      <c r="G117" s="486">
        <f t="shared" si="34"/>
        <v>607810.5</v>
      </c>
      <c r="H117" s="487">
        <f t="shared" si="37"/>
        <v>94161.879612815639</v>
      </c>
      <c r="I117" s="543">
        <f t="shared" si="38"/>
        <v>94161.879612815639</v>
      </c>
      <c r="J117" s="479">
        <f t="shared" si="26"/>
        <v>0</v>
      </c>
      <c r="K117" s="479"/>
      <c r="L117" s="488"/>
      <c r="M117" s="479">
        <f t="shared" si="36"/>
        <v>0</v>
      </c>
      <c r="N117" s="488"/>
      <c r="O117" s="479">
        <f t="shared" si="30"/>
        <v>0</v>
      </c>
      <c r="P117" s="479">
        <f t="shared" si="31"/>
        <v>0</v>
      </c>
    </row>
    <row r="118" spans="2:16" ht="12.5">
      <c r="B118" s="160" t="str">
        <f t="shared" si="25"/>
        <v/>
      </c>
      <c r="C118" s="473">
        <f>IF(D93="","-",+C117+1)</f>
        <v>2032</v>
      </c>
      <c r="D118" s="347">
        <f>IF(F117+SUM(E$99:E117)=D$92,F117,D$92-SUM(E$99:E117))</f>
        <v>595769</v>
      </c>
      <c r="E118" s="485">
        <f t="shared" si="32"/>
        <v>24083</v>
      </c>
      <c r="F118" s="486">
        <f t="shared" si="33"/>
        <v>571686</v>
      </c>
      <c r="G118" s="486">
        <f t="shared" si="34"/>
        <v>583727.5</v>
      </c>
      <c r="H118" s="487">
        <f t="shared" si="37"/>
        <v>91385.175923564733</v>
      </c>
      <c r="I118" s="543">
        <f t="shared" si="38"/>
        <v>91385.175923564733</v>
      </c>
      <c r="J118" s="479">
        <f t="shared" si="26"/>
        <v>0</v>
      </c>
      <c r="K118" s="479"/>
      <c r="L118" s="488"/>
      <c r="M118" s="479">
        <f t="shared" si="36"/>
        <v>0</v>
      </c>
      <c r="N118" s="488"/>
      <c r="O118" s="479">
        <f t="shared" si="30"/>
        <v>0</v>
      </c>
      <c r="P118" s="479">
        <f t="shared" si="31"/>
        <v>0</v>
      </c>
    </row>
    <row r="119" spans="2:16" ht="12.5">
      <c r="B119" s="160" t="str">
        <f t="shared" si="25"/>
        <v/>
      </c>
      <c r="C119" s="473">
        <f>IF(D93="","-",+C118+1)</f>
        <v>2033</v>
      </c>
      <c r="D119" s="347">
        <f>IF(F118+SUM(E$99:E118)=D$92,F118,D$92-SUM(E$99:E118))</f>
        <v>571686</v>
      </c>
      <c r="E119" s="485">
        <f t="shared" si="32"/>
        <v>24083</v>
      </c>
      <c r="F119" s="486">
        <f t="shared" si="33"/>
        <v>547603</v>
      </c>
      <c r="G119" s="486">
        <f t="shared" si="34"/>
        <v>559644.5</v>
      </c>
      <c r="H119" s="487">
        <f t="shared" si="37"/>
        <v>88608.472234313827</v>
      </c>
      <c r="I119" s="543">
        <f t="shared" si="38"/>
        <v>88608.472234313827</v>
      </c>
      <c r="J119" s="479">
        <f t="shared" si="26"/>
        <v>0</v>
      </c>
      <c r="K119" s="479"/>
      <c r="L119" s="488"/>
      <c r="M119" s="479">
        <f t="shared" si="36"/>
        <v>0</v>
      </c>
      <c r="N119" s="488"/>
      <c r="O119" s="479">
        <f t="shared" si="30"/>
        <v>0</v>
      </c>
      <c r="P119" s="479">
        <f t="shared" si="31"/>
        <v>0</v>
      </c>
    </row>
    <row r="120" spans="2:16" ht="12.5">
      <c r="B120" s="160" t="str">
        <f t="shared" si="25"/>
        <v/>
      </c>
      <c r="C120" s="473">
        <f>IF(D93="","-",+C119+1)</f>
        <v>2034</v>
      </c>
      <c r="D120" s="347">
        <f>IF(F119+SUM(E$99:E119)=D$92,F119,D$92-SUM(E$99:E119))</f>
        <v>547603</v>
      </c>
      <c r="E120" s="485">
        <f t="shared" si="32"/>
        <v>24083</v>
      </c>
      <c r="F120" s="486">
        <f t="shared" si="33"/>
        <v>523520</v>
      </c>
      <c r="G120" s="486">
        <f t="shared" si="34"/>
        <v>535561.5</v>
      </c>
      <c r="H120" s="487">
        <f t="shared" si="37"/>
        <v>85831.768545062921</v>
      </c>
      <c r="I120" s="543">
        <f t="shared" si="38"/>
        <v>85831.768545062921</v>
      </c>
      <c r="J120" s="479">
        <f t="shared" si="26"/>
        <v>0</v>
      </c>
      <c r="K120" s="479"/>
      <c r="L120" s="488"/>
      <c r="M120" s="479">
        <f t="shared" si="36"/>
        <v>0</v>
      </c>
      <c r="N120" s="488"/>
      <c r="O120" s="479">
        <f t="shared" si="30"/>
        <v>0</v>
      </c>
      <c r="P120" s="479">
        <f t="shared" si="31"/>
        <v>0</v>
      </c>
    </row>
    <row r="121" spans="2:16" ht="12.5">
      <c r="B121" s="160" t="str">
        <f t="shared" si="25"/>
        <v/>
      </c>
      <c r="C121" s="473">
        <f>IF(D93="","-",+C120+1)</f>
        <v>2035</v>
      </c>
      <c r="D121" s="347">
        <f>IF(F120+SUM(E$99:E120)=D$92,F120,D$92-SUM(E$99:E120))</f>
        <v>523520</v>
      </c>
      <c r="E121" s="485">
        <f t="shared" si="32"/>
        <v>24083</v>
      </c>
      <c r="F121" s="486">
        <f t="shared" si="33"/>
        <v>499437</v>
      </c>
      <c r="G121" s="486">
        <f t="shared" si="34"/>
        <v>511478.5</v>
      </c>
      <c r="H121" s="487">
        <f t="shared" si="37"/>
        <v>83055.064855812001</v>
      </c>
      <c r="I121" s="543">
        <f t="shared" si="38"/>
        <v>83055.064855812001</v>
      </c>
      <c r="J121" s="479">
        <f t="shared" si="26"/>
        <v>0</v>
      </c>
      <c r="K121" s="479"/>
      <c r="L121" s="488"/>
      <c r="M121" s="479">
        <f t="shared" si="36"/>
        <v>0</v>
      </c>
      <c r="N121" s="488"/>
      <c r="O121" s="479">
        <f t="shared" si="30"/>
        <v>0</v>
      </c>
      <c r="P121" s="479">
        <f t="shared" si="31"/>
        <v>0</v>
      </c>
    </row>
    <row r="122" spans="2:16" ht="12.5">
      <c r="B122" s="160" t="str">
        <f t="shared" si="25"/>
        <v/>
      </c>
      <c r="C122" s="473">
        <f>IF(D93="","-",+C121+1)</f>
        <v>2036</v>
      </c>
      <c r="D122" s="347">
        <f>IF(F121+SUM(E$99:E121)=D$92,F121,D$92-SUM(E$99:E121))</f>
        <v>499437</v>
      </c>
      <c r="E122" s="485">
        <f t="shared" si="32"/>
        <v>24083</v>
      </c>
      <c r="F122" s="486">
        <f t="shared" si="33"/>
        <v>475354</v>
      </c>
      <c r="G122" s="486">
        <f t="shared" si="34"/>
        <v>487395.5</v>
      </c>
      <c r="H122" s="487">
        <f t="shared" si="37"/>
        <v>80278.36116656111</v>
      </c>
      <c r="I122" s="543">
        <f t="shared" si="38"/>
        <v>80278.36116656111</v>
      </c>
      <c r="J122" s="479">
        <f t="shared" si="26"/>
        <v>0</v>
      </c>
      <c r="K122" s="479"/>
      <c r="L122" s="488"/>
      <c r="M122" s="479">
        <f t="shared" si="36"/>
        <v>0</v>
      </c>
      <c r="N122" s="488"/>
      <c r="O122" s="479">
        <f t="shared" si="30"/>
        <v>0</v>
      </c>
      <c r="P122" s="479">
        <f t="shared" si="31"/>
        <v>0</v>
      </c>
    </row>
    <row r="123" spans="2:16" ht="12.5">
      <c r="B123" s="160" t="str">
        <f t="shared" si="25"/>
        <v/>
      </c>
      <c r="C123" s="473">
        <f>IF(D93="","-",+C122+1)</f>
        <v>2037</v>
      </c>
      <c r="D123" s="347">
        <f>IF(F122+SUM(E$99:E122)=D$92,F122,D$92-SUM(E$99:E122))</f>
        <v>475354</v>
      </c>
      <c r="E123" s="485">
        <f t="shared" si="32"/>
        <v>24083</v>
      </c>
      <c r="F123" s="486">
        <f t="shared" si="33"/>
        <v>451271</v>
      </c>
      <c r="G123" s="486">
        <f t="shared" si="34"/>
        <v>463312.5</v>
      </c>
      <c r="H123" s="487">
        <f t="shared" si="37"/>
        <v>77501.657477310189</v>
      </c>
      <c r="I123" s="543">
        <f t="shared" si="38"/>
        <v>77501.657477310189</v>
      </c>
      <c r="J123" s="479">
        <f t="shared" si="26"/>
        <v>0</v>
      </c>
      <c r="K123" s="479"/>
      <c r="L123" s="488"/>
      <c r="M123" s="479">
        <f t="shared" si="36"/>
        <v>0</v>
      </c>
      <c r="N123" s="488"/>
      <c r="O123" s="479">
        <f t="shared" si="30"/>
        <v>0</v>
      </c>
      <c r="P123" s="479">
        <f t="shared" si="31"/>
        <v>0</v>
      </c>
    </row>
    <row r="124" spans="2:16" ht="12.5">
      <c r="B124" s="160" t="str">
        <f t="shared" si="25"/>
        <v/>
      </c>
      <c r="C124" s="473">
        <f>IF(D93="","-",+C123+1)</f>
        <v>2038</v>
      </c>
      <c r="D124" s="347">
        <f>IF(F123+SUM(E$99:E123)=D$92,F123,D$92-SUM(E$99:E123))</f>
        <v>451271</v>
      </c>
      <c r="E124" s="485">
        <f t="shared" si="32"/>
        <v>24083</v>
      </c>
      <c r="F124" s="486">
        <f t="shared" si="33"/>
        <v>427188</v>
      </c>
      <c r="G124" s="486">
        <f t="shared" si="34"/>
        <v>439229.5</v>
      </c>
      <c r="H124" s="487">
        <f t="shared" si="37"/>
        <v>74724.953788059283</v>
      </c>
      <c r="I124" s="543">
        <f t="shared" si="38"/>
        <v>74724.953788059283</v>
      </c>
      <c r="J124" s="479">
        <f t="shared" si="26"/>
        <v>0</v>
      </c>
      <c r="K124" s="479"/>
      <c r="L124" s="488"/>
      <c r="M124" s="479">
        <f t="shared" si="36"/>
        <v>0</v>
      </c>
      <c r="N124" s="488"/>
      <c r="O124" s="479">
        <f t="shared" si="30"/>
        <v>0</v>
      </c>
      <c r="P124" s="479">
        <f t="shared" si="31"/>
        <v>0</v>
      </c>
    </row>
    <row r="125" spans="2:16" ht="12.5">
      <c r="B125" s="160" t="str">
        <f t="shared" si="25"/>
        <v/>
      </c>
      <c r="C125" s="473">
        <f>IF(D93="","-",+C124+1)</f>
        <v>2039</v>
      </c>
      <c r="D125" s="347">
        <f>IF(F124+SUM(E$99:E124)=D$92,F124,D$92-SUM(E$99:E124))</f>
        <v>427188</v>
      </c>
      <c r="E125" s="485">
        <f t="shared" si="32"/>
        <v>24083</v>
      </c>
      <c r="F125" s="486">
        <f t="shared" si="33"/>
        <v>403105</v>
      </c>
      <c r="G125" s="486">
        <f t="shared" si="34"/>
        <v>415146.5</v>
      </c>
      <c r="H125" s="487">
        <f t="shared" si="37"/>
        <v>71948.250098808378</v>
      </c>
      <c r="I125" s="543">
        <f t="shared" si="38"/>
        <v>71948.250098808378</v>
      </c>
      <c r="J125" s="479">
        <f t="shared" si="26"/>
        <v>0</v>
      </c>
      <c r="K125" s="479"/>
      <c r="L125" s="488"/>
      <c r="M125" s="479">
        <f t="shared" si="36"/>
        <v>0</v>
      </c>
      <c r="N125" s="488"/>
      <c r="O125" s="479">
        <f t="shared" si="30"/>
        <v>0</v>
      </c>
      <c r="P125" s="479">
        <f t="shared" si="31"/>
        <v>0</v>
      </c>
    </row>
    <row r="126" spans="2:16" ht="12.5">
      <c r="B126" s="160" t="str">
        <f t="shared" si="25"/>
        <v/>
      </c>
      <c r="C126" s="473">
        <f>IF(D93="","-",+C125+1)</f>
        <v>2040</v>
      </c>
      <c r="D126" s="347">
        <f>IF(F125+SUM(E$99:E125)=D$92,F125,D$92-SUM(E$99:E125))</f>
        <v>403105</v>
      </c>
      <c r="E126" s="485">
        <f t="shared" si="32"/>
        <v>24083</v>
      </c>
      <c r="F126" s="486">
        <f t="shared" si="33"/>
        <v>379022</v>
      </c>
      <c r="G126" s="486">
        <f t="shared" si="34"/>
        <v>391063.5</v>
      </c>
      <c r="H126" s="487">
        <f t="shared" si="37"/>
        <v>69171.546409557472</v>
      </c>
      <c r="I126" s="543">
        <f t="shared" si="38"/>
        <v>69171.546409557472</v>
      </c>
      <c r="J126" s="479">
        <f t="shared" si="26"/>
        <v>0</v>
      </c>
      <c r="K126" s="479"/>
      <c r="L126" s="488"/>
      <c r="M126" s="479">
        <f t="shared" si="36"/>
        <v>0</v>
      </c>
      <c r="N126" s="488"/>
      <c r="O126" s="479">
        <f t="shared" si="30"/>
        <v>0</v>
      </c>
      <c r="P126" s="479">
        <f t="shared" si="31"/>
        <v>0</v>
      </c>
    </row>
    <row r="127" spans="2:16" ht="12.5">
      <c r="B127" s="160" t="str">
        <f t="shared" si="25"/>
        <v/>
      </c>
      <c r="C127" s="473">
        <f>IF(D93="","-",+C126+1)</f>
        <v>2041</v>
      </c>
      <c r="D127" s="347">
        <f>IF(F126+SUM(E$99:E126)=D$92,F126,D$92-SUM(E$99:E126))</f>
        <v>379022</v>
      </c>
      <c r="E127" s="485">
        <f t="shared" si="32"/>
        <v>24083</v>
      </c>
      <c r="F127" s="486">
        <f t="shared" si="33"/>
        <v>354939</v>
      </c>
      <c r="G127" s="486">
        <f t="shared" si="34"/>
        <v>366980.5</v>
      </c>
      <c r="H127" s="487">
        <f t="shared" si="37"/>
        <v>66394.842720306566</v>
      </c>
      <c r="I127" s="543">
        <f t="shared" si="38"/>
        <v>66394.842720306566</v>
      </c>
      <c r="J127" s="479">
        <f t="shared" si="26"/>
        <v>0</v>
      </c>
      <c r="K127" s="479"/>
      <c r="L127" s="488"/>
      <c r="M127" s="479">
        <f t="shared" si="36"/>
        <v>0</v>
      </c>
      <c r="N127" s="488"/>
      <c r="O127" s="479">
        <f t="shared" si="30"/>
        <v>0</v>
      </c>
      <c r="P127" s="479">
        <f t="shared" si="31"/>
        <v>0</v>
      </c>
    </row>
    <row r="128" spans="2:16" ht="12.5">
      <c r="B128" s="160" t="str">
        <f t="shared" si="25"/>
        <v/>
      </c>
      <c r="C128" s="473">
        <f>IF(D93="","-",+C127+1)</f>
        <v>2042</v>
      </c>
      <c r="D128" s="347">
        <f>IF(F127+SUM(E$99:E127)=D$92,F127,D$92-SUM(E$99:E127))</f>
        <v>354939</v>
      </c>
      <c r="E128" s="485">
        <f t="shared" si="32"/>
        <v>24083</v>
      </c>
      <c r="F128" s="486">
        <f t="shared" si="33"/>
        <v>330856</v>
      </c>
      <c r="G128" s="486">
        <f t="shared" si="34"/>
        <v>342897.5</v>
      </c>
      <c r="H128" s="487">
        <f t="shared" si="37"/>
        <v>63618.139031055653</v>
      </c>
      <c r="I128" s="543">
        <f t="shared" si="38"/>
        <v>63618.139031055653</v>
      </c>
      <c r="J128" s="479">
        <f t="shared" si="26"/>
        <v>0</v>
      </c>
      <c r="K128" s="479"/>
      <c r="L128" s="488"/>
      <c r="M128" s="479">
        <f t="shared" si="36"/>
        <v>0</v>
      </c>
      <c r="N128" s="488"/>
      <c r="O128" s="479">
        <f t="shared" si="30"/>
        <v>0</v>
      </c>
      <c r="P128" s="479">
        <f t="shared" si="31"/>
        <v>0</v>
      </c>
    </row>
    <row r="129" spans="2:16" ht="12.5">
      <c r="B129" s="160" t="str">
        <f t="shared" si="25"/>
        <v/>
      </c>
      <c r="C129" s="473">
        <f>IF(D93="","-",+C128+1)</f>
        <v>2043</v>
      </c>
      <c r="D129" s="347">
        <f>IF(F128+SUM(E$99:E128)=D$92,F128,D$92-SUM(E$99:E128))</f>
        <v>330856</v>
      </c>
      <c r="E129" s="485">
        <f t="shared" si="32"/>
        <v>24083</v>
      </c>
      <c r="F129" s="486">
        <f t="shared" si="33"/>
        <v>306773</v>
      </c>
      <c r="G129" s="486">
        <f t="shared" si="34"/>
        <v>318814.5</v>
      </c>
      <c r="H129" s="487">
        <f t="shared" si="37"/>
        <v>60841.435341804747</v>
      </c>
      <c r="I129" s="543">
        <f t="shared" si="38"/>
        <v>60841.435341804747</v>
      </c>
      <c r="J129" s="479">
        <f t="shared" si="26"/>
        <v>0</v>
      </c>
      <c r="K129" s="479"/>
      <c r="L129" s="488"/>
      <c r="M129" s="479">
        <f t="shared" si="36"/>
        <v>0</v>
      </c>
      <c r="N129" s="488"/>
      <c r="O129" s="479">
        <f t="shared" si="30"/>
        <v>0</v>
      </c>
      <c r="P129" s="479">
        <f t="shared" si="31"/>
        <v>0</v>
      </c>
    </row>
    <row r="130" spans="2:16" ht="12.5">
      <c r="B130" s="160" t="str">
        <f t="shared" si="25"/>
        <v/>
      </c>
      <c r="C130" s="473">
        <f>IF(D93="","-",+C129+1)</f>
        <v>2044</v>
      </c>
      <c r="D130" s="347">
        <f>IF(F129+SUM(E$99:E129)=D$92,F129,D$92-SUM(E$99:E129))</f>
        <v>306773</v>
      </c>
      <c r="E130" s="485">
        <f t="shared" si="32"/>
        <v>24083</v>
      </c>
      <c r="F130" s="486">
        <f t="shared" si="33"/>
        <v>282690</v>
      </c>
      <c r="G130" s="486">
        <f t="shared" si="34"/>
        <v>294731.5</v>
      </c>
      <c r="H130" s="487">
        <f t="shared" si="37"/>
        <v>58064.731652553834</v>
      </c>
      <c r="I130" s="543">
        <f t="shared" si="38"/>
        <v>58064.731652553834</v>
      </c>
      <c r="J130" s="479">
        <f t="shared" si="26"/>
        <v>0</v>
      </c>
      <c r="K130" s="479"/>
      <c r="L130" s="488"/>
      <c r="M130" s="479">
        <f t="shared" si="36"/>
        <v>0</v>
      </c>
      <c r="N130" s="488"/>
      <c r="O130" s="479">
        <f t="shared" si="30"/>
        <v>0</v>
      </c>
      <c r="P130" s="479">
        <f t="shared" si="31"/>
        <v>0</v>
      </c>
    </row>
    <row r="131" spans="2:16" ht="12.5">
      <c r="B131" s="160" t="str">
        <f t="shared" si="25"/>
        <v/>
      </c>
      <c r="C131" s="473">
        <f>IF(D93="","-",+C130+1)</f>
        <v>2045</v>
      </c>
      <c r="D131" s="347">
        <f>IF(F130+SUM(E$99:E130)=D$92,F130,D$92-SUM(E$99:E130))</f>
        <v>282690</v>
      </c>
      <c r="E131" s="485">
        <f t="shared" si="32"/>
        <v>24083</v>
      </c>
      <c r="F131" s="486">
        <f t="shared" si="33"/>
        <v>258607</v>
      </c>
      <c r="G131" s="486">
        <f t="shared" si="34"/>
        <v>270648.5</v>
      </c>
      <c r="H131" s="487">
        <f t="shared" si="37"/>
        <v>55288.027963302928</v>
      </c>
      <c r="I131" s="543">
        <f t="shared" si="38"/>
        <v>55288.027963302928</v>
      </c>
      <c r="J131" s="479">
        <f t="shared" si="26"/>
        <v>0</v>
      </c>
      <c r="K131" s="479"/>
      <c r="L131" s="488"/>
      <c r="M131" s="479">
        <f t="shared" ref="M131:M154" si="39">IF(L541&lt;&gt;0,+H541-L541,0)</f>
        <v>0</v>
      </c>
      <c r="N131" s="488"/>
      <c r="O131" s="479">
        <f t="shared" ref="O131:O154" si="40">IF(N541&lt;&gt;0,+I541-N541,0)</f>
        <v>0</v>
      </c>
      <c r="P131" s="479">
        <f t="shared" ref="P131:P154" si="41">+O541-M541</f>
        <v>0</v>
      </c>
    </row>
    <row r="132" spans="2:16" ht="12.5">
      <c r="B132" s="160" t="str">
        <f t="shared" si="25"/>
        <v/>
      </c>
      <c r="C132" s="473">
        <f>IF(D93="","-",+C131+1)</f>
        <v>2046</v>
      </c>
      <c r="D132" s="347">
        <f>IF(F131+SUM(E$99:E131)=D$92,F131,D$92-SUM(E$99:E131))</f>
        <v>258607</v>
      </c>
      <c r="E132" s="485">
        <f t="shared" si="32"/>
        <v>24083</v>
      </c>
      <c r="F132" s="486">
        <f t="shared" si="33"/>
        <v>234524</v>
      </c>
      <c r="G132" s="486">
        <f t="shared" si="34"/>
        <v>246565.5</v>
      </c>
      <c r="H132" s="487">
        <f t="shared" si="37"/>
        <v>52511.324274052022</v>
      </c>
      <c r="I132" s="543">
        <f t="shared" si="38"/>
        <v>52511.324274052022</v>
      </c>
      <c r="J132" s="479">
        <f t="shared" si="26"/>
        <v>0</v>
      </c>
      <c r="K132" s="479"/>
      <c r="L132" s="488"/>
      <c r="M132" s="479">
        <f t="shared" si="39"/>
        <v>0</v>
      </c>
      <c r="N132" s="488"/>
      <c r="O132" s="479">
        <f t="shared" si="40"/>
        <v>0</v>
      </c>
      <c r="P132" s="479">
        <f t="shared" si="41"/>
        <v>0</v>
      </c>
    </row>
    <row r="133" spans="2:16" ht="12.5">
      <c r="B133" s="160" t="str">
        <f t="shared" si="25"/>
        <v/>
      </c>
      <c r="C133" s="473">
        <f>IF(D93="","-",+C132+1)</f>
        <v>2047</v>
      </c>
      <c r="D133" s="347">
        <f>IF(F132+SUM(E$99:E132)=D$92,F132,D$92-SUM(E$99:E132))</f>
        <v>234524</v>
      </c>
      <c r="E133" s="485">
        <f t="shared" si="32"/>
        <v>24083</v>
      </c>
      <c r="F133" s="486">
        <f t="shared" si="33"/>
        <v>210441</v>
      </c>
      <c r="G133" s="486">
        <f t="shared" si="34"/>
        <v>222482.5</v>
      </c>
      <c r="H133" s="487">
        <f t="shared" si="37"/>
        <v>49734.620584801116</v>
      </c>
      <c r="I133" s="543">
        <f t="shared" si="38"/>
        <v>49734.620584801116</v>
      </c>
      <c r="J133" s="479">
        <f t="shared" si="26"/>
        <v>0</v>
      </c>
      <c r="K133" s="479"/>
      <c r="L133" s="488"/>
      <c r="M133" s="479">
        <f t="shared" si="39"/>
        <v>0</v>
      </c>
      <c r="N133" s="488"/>
      <c r="O133" s="479">
        <f t="shared" si="40"/>
        <v>0</v>
      </c>
      <c r="P133" s="479">
        <f t="shared" si="41"/>
        <v>0</v>
      </c>
    </row>
    <row r="134" spans="2:16" ht="12.5">
      <c r="B134" s="160" t="str">
        <f t="shared" si="25"/>
        <v/>
      </c>
      <c r="C134" s="473">
        <f>IF(D93="","-",+C133+1)</f>
        <v>2048</v>
      </c>
      <c r="D134" s="347">
        <f>IF(F133+SUM(E$99:E133)=D$92,F133,D$92-SUM(E$99:E133))</f>
        <v>210441</v>
      </c>
      <c r="E134" s="485">
        <f t="shared" si="32"/>
        <v>24083</v>
      </c>
      <c r="F134" s="486">
        <f t="shared" si="33"/>
        <v>186358</v>
      </c>
      <c r="G134" s="486">
        <f t="shared" si="34"/>
        <v>198399.5</v>
      </c>
      <c r="H134" s="487">
        <f t="shared" si="37"/>
        <v>46957.916895550203</v>
      </c>
      <c r="I134" s="543">
        <f t="shared" si="38"/>
        <v>46957.916895550203</v>
      </c>
      <c r="J134" s="479">
        <f t="shared" si="26"/>
        <v>0</v>
      </c>
      <c r="K134" s="479"/>
      <c r="L134" s="488"/>
      <c r="M134" s="479">
        <f t="shared" si="39"/>
        <v>0</v>
      </c>
      <c r="N134" s="488"/>
      <c r="O134" s="479">
        <f t="shared" si="40"/>
        <v>0</v>
      </c>
      <c r="P134" s="479">
        <f t="shared" si="41"/>
        <v>0</v>
      </c>
    </row>
    <row r="135" spans="2:16" ht="12.5">
      <c r="B135" s="160" t="str">
        <f t="shared" si="25"/>
        <v/>
      </c>
      <c r="C135" s="473">
        <f>IF(D93="","-",+C134+1)</f>
        <v>2049</v>
      </c>
      <c r="D135" s="347">
        <f>IF(F134+SUM(E$99:E134)=D$92,F134,D$92-SUM(E$99:E134))</f>
        <v>186358</v>
      </c>
      <c r="E135" s="485">
        <f t="shared" si="32"/>
        <v>24083</v>
      </c>
      <c r="F135" s="486">
        <f t="shared" si="33"/>
        <v>162275</v>
      </c>
      <c r="G135" s="486">
        <f t="shared" si="34"/>
        <v>174316.5</v>
      </c>
      <c r="H135" s="487">
        <f t="shared" si="37"/>
        <v>44181.213206299297</v>
      </c>
      <c r="I135" s="543">
        <f t="shared" si="38"/>
        <v>44181.213206299297</v>
      </c>
      <c r="J135" s="479">
        <f t="shared" si="26"/>
        <v>0</v>
      </c>
      <c r="K135" s="479"/>
      <c r="L135" s="488"/>
      <c r="M135" s="479">
        <f t="shared" si="39"/>
        <v>0</v>
      </c>
      <c r="N135" s="488"/>
      <c r="O135" s="479">
        <f t="shared" si="40"/>
        <v>0</v>
      </c>
      <c r="P135" s="479">
        <f t="shared" si="41"/>
        <v>0</v>
      </c>
    </row>
    <row r="136" spans="2:16" ht="12.5">
      <c r="B136" s="160" t="str">
        <f t="shared" si="25"/>
        <v/>
      </c>
      <c r="C136" s="473">
        <f>IF(D93="","-",+C135+1)</f>
        <v>2050</v>
      </c>
      <c r="D136" s="347">
        <f>IF(F135+SUM(E$99:E135)=D$92,F135,D$92-SUM(E$99:E135))</f>
        <v>162275</v>
      </c>
      <c r="E136" s="485">
        <f t="shared" si="32"/>
        <v>24083</v>
      </c>
      <c r="F136" s="486">
        <f t="shared" si="33"/>
        <v>138192</v>
      </c>
      <c r="G136" s="486">
        <f t="shared" si="34"/>
        <v>150233.5</v>
      </c>
      <c r="H136" s="487">
        <f t="shared" si="37"/>
        <v>41404.509517048384</v>
      </c>
      <c r="I136" s="543">
        <f t="shared" si="38"/>
        <v>41404.509517048384</v>
      </c>
      <c r="J136" s="479">
        <f t="shared" si="26"/>
        <v>0</v>
      </c>
      <c r="K136" s="479"/>
      <c r="L136" s="488"/>
      <c r="M136" s="479">
        <f t="shared" si="39"/>
        <v>0</v>
      </c>
      <c r="N136" s="488"/>
      <c r="O136" s="479">
        <f t="shared" si="40"/>
        <v>0</v>
      </c>
      <c r="P136" s="479">
        <f t="shared" si="41"/>
        <v>0</v>
      </c>
    </row>
    <row r="137" spans="2:16" ht="12.5">
      <c r="B137" s="160" t="str">
        <f t="shared" si="25"/>
        <v/>
      </c>
      <c r="C137" s="473">
        <f>IF(D93="","-",+C136+1)</f>
        <v>2051</v>
      </c>
      <c r="D137" s="347">
        <f>IF(F136+SUM(E$99:E136)=D$92,F136,D$92-SUM(E$99:E136))</f>
        <v>138192</v>
      </c>
      <c r="E137" s="485">
        <f t="shared" si="32"/>
        <v>24083</v>
      </c>
      <c r="F137" s="486">
        <f t="shared" si="33"/>
        <v>114109</v>
      </c>
      <c r="G137" s="486">
        <f t="shared" si="34"/>
        <v>126150.5</v>
      </c>
      <c r="H137" s="487">
        <f t="shared" si="37"/>
        <v>38627.805827797478</v>
      </c>
      <c r="I137" s="543">
        <f t="shared" si="38"/>
        <v>38627.805827797478</v>
      </c>
      <c r="J137" s="479">
        <f t="shared" si="26"/>
        <v>0</v>
      </c>
      <c r="K137" s="479"/>
      <c r="L137" s="488"/>
      <c r="M137" s="479">
        <f t="shared" si="39"/>
        <v>0</v>
      </c>
      <c r="N137" s="488"/>
      <c r="O137" s="479">
        <f t="shared" si="40"/>
        <v>0</v>
      </c>
      <c r="P137" s="479">
        <f t="shared" si="41"/>
        <v>0</v>
      </c>
    </row>
    <row r="138" spans="2:16" ht="12.5">
      <c r="B138" s="160" t="str">
        <f t="shared" si="25"/>
        <v/>
      </c>
      <c r="C138" s="473">
        <f>IF(D93="","-",+C137+1)</f>
        <v>2052</v>
      </c>
      <c r="D138" s="347">
        <f>IF(F137+SUM(E$99:E137)=D$92,F137,D$92-SUM(E$99:E137))</f>
        <v>114109</v>
      </c>
      <c r="E138" s="485">
        <f t="shared" si="32"/>
        <v>24083</v>
      </c>
      <c r="F138" s="486">
        <f t="shared" si="33"/>
        <v>90026</v>
      </c>
      <c r="G138" s="486">
        <f t="shared" si="34"/>
        <v>102067.5</v>
      </c>
      <c r="H138" s="487">
        <f t="shared" si="37"/>
        <v>35851.102138546572</v>
      </c>
      <c r="I138" s="543">
        <f t="shared" si="38"/>
        <v>35851.102138546572</v>
      </c>
      <c r="J138" s="479">
        <f t="shared" si="26"/>
        <v>0</v>
      </c>
      <c r="K138" s="479"/>
      <c r="L138" s="488"/>
      <c r="M138" s="479">
        <f t="shared" si="39"/>
        <v>0</v>
      </c>
      <c r="N138" s="488"/>
      <c r="O138" s="479">
        <f t="shared" si="40"/>
        <v>0</v>
      </c>
      <c r="P138" s="479">
        <f t="shared" si="41"/>
        <v>0</v>
      </c>
    </row>
    <row r="139" spans="2:16" ht="12.5">
      <c r="B139" s="160" t="str">
        <f t="shared" si="25"/>
        <v/>
      </c>
      <c r="C139" s="473">
        <f>IF(D93="","-",+C138+1)</f>
        <v>2053</v>
      </c>
      <c r="D139" s="347">
        <f>IF(F138+SUM(E$99:E138)=D$92,F138,D$92-SUM(E$99:E138))</f>
        <v>90026</v>
      </c>
      <c r="E139" s="485">
        <f t="shared" si="32"/>
        <v>24083</v>
      </c>
      <c r="F139" s="486">
        <f t="shared" si="33"/>
        <v>65943</v>
      </c>
      <c r="G139" s="486">
        <f t="shared" si="34"/>
        <v>77984.5</v>
      </c>
      <c r="H139" s="487">
        <f t="shared" si="37"/>
        <v>33074.398449295666</v>
      </c>
      <c r="I139" s="543">
        <f t="shared" si="38"/>
        <v>33074.398449295666</v>
      </c>
      <c r="J139" s="479">
        <f t="shared" si="26"/>
        <v>0</v>
      </c>
      <c r="K139" s="479"/>
      <c r="L139" s="488"/>
      <c r="M139" s="479">
        <f t="shared" si="39"/>
        <v>0</v>
      </c>
      <c r="N139" s="488"/>
      <c r="O139" s="479">
        <f t="shared" si="40"/>
        <v>0</v>
      </c>
      <c r="P139" s="479">
        <f t="shared" si="41"/>
        <v>0</v>
      </c>
    </row>
    <row r="140" spans="2:16" ht="12.5">
      <c r="B140" s="160" t="str">
        <f t="shared" si="25"/>
        <v/>
      </c>
      <c r="C140" s="473">
        <f>IF(D93="","-",+C139+1)</f>
        <v>2054</v>
      </c>
      <c r="D140" s="347">
        <f>IF(F139+SUM(E$99:E139)=D$92,F139,D$92-SUM(E$99:E139))</f>
        <v>65943</v>
      </c>
      <c r="E140" s="485">
        <f t="shared" si="32"/>
        <v>24083</v>
      </c>
      <c r="F140" s="486">
        <f t="shared" si="33"/>
        <v>41860</v>
      </c>
      <c r="G140" s="486">
        <f t="shared" si="34"/>
        <v>53901.5</v>
      </c>
      <c r="H140" s="487">
        <f t="shared" si="37"/>
        <v>30297.694760044753</v>
      </c>
      <c r="I140" s="543">
        <f t="shared" si="38"/>
        <v>30297.694760044753</v>
      </c>
      <c r="J140" s="479">
        <f t="shared" si="26"/>
        <v>0</v>
      </c>
      <c r="K140" s="479"/>
      <c r="L140" s="488"/>
      <c r="M140" s="479">
        <f t="shared" si="39"/>
        <v>0</v>
      </c>
      <c r="N140" s="488"/>
      <c r="O140" s="479">
        <f t="shared" si="40"/>
        <v>0</v>
      </c>
      <c r="P140" s="479">
        <f t="shared" si="41"/>
        <v>0</v>
      </c>
    </row>
    <row r="141" spans="2:16" ht="12.5">
      <c r="B141" s="160" t="str">
        <f t="shared" si="25"/>
        <v/>
      </c>
      <c r="C141" s="473">
        <f>IF(D93="","-",+C140+1)</f>
        <v>2055</v>
      </c>
      <c r="D141" s="347">
        <f>IF(F140+SUM(E$99:E140)=D$92,F140,D$92-SUM(E$99:E140))</f>
        <v>41860</v>
      </c>
      <c r="E141" s="485">
        <f t="shared" si="32"/>
        <v>24083</v>
      </c>
      <c r="F141" s="486">
        <f t="shared" si="33"/>
        <v>17777</v>
      </c>
      <c r="G141" s="486">
        <f t="shared" si="34"/>
        <v>29818.5</v>
      </c>
      <c r="H141" s="487">
        <f t="shared" si="37"/>
        <v>27520.991070793847</v>
      </c>
      <c r="I141" s="543">
        <f t="shared" si="38"/>
        <v>27520.991070793847</v>
      </c>
      <c r="J141" s="479">
        <f t="shared" si="26"/>
        <v>0</v>
      </c>
      <c r="K141" s="479"/>
      <c r="L141" s="488"/>
      <c r="M141" s="479">
        <f t="shared" si="39"/>
        <v>0</v>
      </c>
      <c r="N141" s="488"/>
      <c r="O141" s="479">
        <f t="shared" si="40"/>
        <v>0</v>
      </c>
      <c r="P141" s="479">
        <f t="shared" si="41"/>
        <v>0</v>
      </c>
    </row>
    <row r="142" spans="2:16" ht="12.5">
      <c r="B142" s="160" t="str">
        <f t="shared" si="25"/>
        <v/>
      </c>
      <c r="C142" s="473">
        <f>IF(D93="","-",+C141+1)</f>
        <v>2056</v>
      </c>
      <c r="D142" s="347">
        <f>IF(F141+SUM(E$99:E141)=D$92,F141,D$92-SUM(E$99:E141))</f>
        <v>17777</v>
      </c>
      <c r="E142" s="485">
        <f t="shared" si="32"/>
        <v>17777</v>
      </c>
      <c r="F142" s="486">
        <f t="shared" si="33"/>
        <v>0</v>
      </c>
      <c r="G142" s="486">
        <f t="shared" si="34"/>
        <v>8888.5</v>
      </c>
      <c r="H142" s="487">
        <f t="shared" si="37"/>
        <v>18801.819613084197</v>
      </c>
      <c r="I142" s="543">
        <f t="shared" si="38"/>
        <v>18801.819613084197</v>
      </c>
      <c r="J142" s="479">
        <f t="shared" si="26"/>
        <v>0</v>
      </c>
      <c r="K142" s="479"/>
      <c r="L142" s="488"/>
      <c r="M142" s="479">
        <f t="shared" si="39"/>
        <v>0</v>
      </c>
      <c r="N142" s="488"/>
      <c r="O142" s="479">
        <f t="shared" si="40"/>
        <v>0</v>
      </c>
      <c r="P142" s="479">
        <f t="shared" si="41"/>
        <v>0</v>
      </c>
    </row>
    <row r="143" spans="2:16" ht="12.5">
      <c r="B143" s="160" t="str">
        <f t="shared" si="25"/>
        <v/>
      </c>
      <c r="C143" s="473">
        <f>IF(D93="","-",+C142+1)</f>
        <v>2057</v>
      </c>
      <c r="D143" s="347">
        <f>IF(F142+SUM(E$99:E142)=D$92,F142,D$92-SUM(E$99:E142))</f>
        <v>0</v>
      </c>
      <c r="E143" s="485">
        <f t="shared" si="32"/>
        <v>0</v>
      </c>
      <c r="F143" s="486">
        <f t="shared" si="33"/>
        <v>0</v>
      </c>
      <c r="G143" s="486">
        <f t="shared" si="34"/>
        <v>0</v>
      </c>
      <c r="H143" s="487">
        <f t="shared" si="37"/>
        <v>0</v>
      </c>
      <c r="I143" s="543">
        <f t="shared" si="38"/>
        <v>0</v>
      </c>
      <c r="J143" s="479">
        <f t="shared" si="26"/>
        <v>0</v>
      </c>
      <c r="K143" s="479"/>
      <c r="L143" s="488"/>
      <c r="M143" s="479">
        <f t="shared" si="39"/>
        <v>0</v>
      </c>
      <c r="N143" s="488"/>
      <c r="O143" s="479">
        <f t="shared" si="40"/>
        <v>0</v>
      </c>
      <c r="P143" s="479">
        <f t="shared" si="41"/>
        <v>0</v>
      </c>
    </row>
    <row r="144" spans="2:16" ht="12.5">
      <c r="B144" s="160" t="str">
        <f t="shared" si="25"/>
        <v/>
      </c>
      <c r="C144" s="473">
        <f>IF(D93="","-",+C143+1)</f>
        <v>2058</v>
      </c>
      <c r="D144" s="347">
        <f>IF(F143+SUM(E$99:E143)=D$92,F143,D$92-SUM(E$99:E143))</f>
        <v>0</v>
      </c>
      <c r="E144" s="485">
        <f t="shared" si="32"/>
        <v>0</v>
      </c>
      <c r="F144" s="486">
        <f t="shared" si="33"/>
        <v>0</v>
      </c>
      <c r="G144" s="486">
        <f t="shared" si="34"/>
        <v>0</v>
      </c>
      <c r="H144" s="487">
        <f t="shared" si="37"/>
        <v>0</v>
      </c>
      <c r="I144" s="543">
        <f t="shared" si="38"/>
        <v>0</v>
      </c>
      <c r="J144" s="479">
        <f t="shared" si="26"/>
        <v>0</v>
      </c>
      <c r="K144" s="479"/>
      <c r="L144" s="488"/>
      <c r="M144" s="479">
        <f t="shared" si="39"/>
        <v>0</v>
      </c>
      <c r="N144" s="488"/>
      <c r="O144" s="479">
        <f t="shared" si="40"/>
        <v>0</v>
      </c>
      <c r="P144" s="479">
        <f t="shared" si="41"/>
        <v>0</v>
      </c>
    </row>
    <row r="145" spans="2:16" ht="12.5">
      <c r="B145" s="160" t="str">
        <f t="shared" si="25"/>
        <v/>
      </c>
      <c r="C145" s="473">
        <f>IF(D93="","-",+C144+1)</f>
        <v>2059</v>
      </c>
      <c r="D145" s="347">
        <f>IF(F144+SUM(E$99:E144)=D$92,F144,D$92-SUM(E$99:E144))</f>
        <v>0</v>
      </c>
      <c r="E145" s="485">
        <f t="shared" si="32"/>
        <v>0</v>
      </c>
      <c r="F145" s="486">
        <f t="shared" si="33"/>
        <v>0</v>
      </c>
      <c r="G145" s="486">
        <f t="shared" si="34"/>
        <v>0</v>
      </c>
      <c r="H145" s="487">
        <f t="shared" si="37"/>
        <v>0</v>
      </c>
      <c r="I145" s="543">
        <f t="shared" si="38"/>
        <v>0</v>
      </c>
      <c r="J145" s="479">
        <f t="shared" si="26"/>
        <v>0</v>
      </c>
      <c r="K145" s="479"/>
      <c r="L145" s="488"/>
      <c r="M145" s="479">
        <f t="shared" si="39"/>
        <v>0</v>
      </c>
      <c r="N145" s="488"/>
      <c r="O145" s="479">
        <f t="shared" si="40"/>
        <v>0</v>
      </c>
      <c r="P145" s="479">
        <f t="shared" si="41"/>
        <v>0</v>
      </c>
    </row>
    <row r="146" spans="2:16" ht="12.5">
      <c r="B146" s="160" t="str">
        <f t="shared" si="25"/>
        <v/>
      </c>
      <c r="C146" s="473">
        <f>IF(D93="","-",+C145+1)</f>
        <v>2060</v>
      </c>
      <c r="D146" s="347">
        <f>IF(F145+SUM(E$99:E145)=D$92,F145,D$92-SUM(E$99:E145))</f>
        <v>0</v>
      </c>
      <c r="E146" s="485">
        <f t="shared" si="32"/>
        <v>0</v>
      </c>
      <c r="F146" s="486">
        <f t="shared" si="33"/>
        <v>0</v>
      </c>
      <c r="G146" s="486">
        <f t="shared" si="34"/>
        <v>0</v>
      </c>
      <c r="H146" s="487">
        <f t="shared" si="37"/>
        <v>0</v>
      </c>
      <c r="I146" s="543">
        <f t="shared" si="38"/>
        <v>0</v>
      </c>
      <c r="J146" s="479">
        <f t="shared" si="26"/>
        <v>0</v>
      </c>
      <c r="K146" s="479"/>
      <c r="L146" s="488"/>
      <c r="M146" s="479">
        <f t="shared" si="39"/>
        <v>0</v>
      </c>
      <c r="N146" s="488"/>
      <c r="O146" s="479">
        <f t="shared" si="40"/>
        <v>0</v>
      </c>
      <c r="P146" s="479">
        <f t="shared" si="41"/>
        <v>0</v>
      </c>
    </row>
    <row r="147" spans="2:16" ht="12.5">
      <c r="B147" s="160" t="str">
        <f t="shared" si="25"/>
        <v/>
      </c>
      <c r="C147" s="473">
        <f>IF(D93="","-",+C146+1)</f>
        <v>2061</v>
      </c>
      <c r="D147" s="347">
        <f>IF(F146+SUM(E$99:E146)=D$92,F146,D$92-SUM(E$99:E146))</f>
        <v>0</v>
      </c>
      <c r="E147" s="485">
        <f t="shared" si="32"/>
        <v>0</v>
      </c>
      <c r="F147" s="486">
        <f t="shared" si="33"/>
        <v>0</v>
      </c>
      <c r="G147" s="486">
        <f t="shared" si="34"/>
        <v>0</v>
      </c>
      <c r="H147" s="487">
        <f t="shared" si="37"/>
        <v>0</v>
      </c>
      <c r="I147" s="543">
        <f t="shared" si="38"/>
        <v>0</v>
      </c>
      <c r="J147" s="479">
        <f t="shared" si="26"/>
        <v>0</v>
      </c>
      <c r="K147" s="479"/>
      <c r="L147" s="488"/>
      <c r="M147" s="479">
        <f t="shared" si="39"/>
        <v>0</v>
      </c>
      <c r="N147" s="488"/>
      <c r="O147" s="479">
        <f t="shared" si="40"/>
        <v>0</v>
      </c>
      <c r="P147" s="479">
        <f t="shared" si="41"/>
        <v>0</v>
      </c>
    </row>
    <row r="148" spans="2:16" ht="12.5">
      <c r="B148" s="160" t="str">
        <f t="shared" si="25"/>
        <v/>
      </c>
      <c r="C148" s="473">
        <f>IF(D93="","-",+C147+1)</f>
        <v>2062</v>
      </c>
      <c r="D148" s="347">
        <f>IF(F147+SUM(E$99:E147)=D$92,F147,D$92-SUM(E$99:E147))</f>
        <v>0</v>
      </c>
      <c r="E148" s="485">
        <f t="shared" si="32"/>
        <v>0</v>
      </c>
      <c r="F148" s="486">
        <f t="shared" si="33"/>
        <v>0</v>
      </c>
      <c r="G148" s="486">
        <f t="shared" si="34"/>
        <v>0</v>
      </c>
      <c r="H148" s="487">
        <f t="shared" si="37"/>
        <v>0</v>
      </c>
      <c r="I148" s="543">
        <f t="shared" si="38"/>
        <v>0</v>
      </c>
      <c r="J148" s="479">
        <f t="shared" si="26"/>
        <v>0</v>
      </c>
      <c r="K148" s="479"/>
      <c r="L148" s="488"/>
      <c r="M148" s="479">
        <f t="shared" si="39"/>
        <v>0</v>
      </c>
      <c r="N148" s="488"/>
      <c r="O148" s="479">
        <f t="shared" si="40"/>
        <v>0</v>
      </c>
      <c r="P148" s="479">
        <f t="shared" si="41"/>
        <v>0</v>
      </c>
    </row>
    <row r="149" spans="2:16" ht="12.5">
      <c r="B149" s="160" t="str">
        <f t="shared" si="25"/>
        <v/>
      </c>
      <c r="C149" s="473">
        <f>IF(D93="","-",+C148+1)</f>
        <v>2063</v>
      </c>
      <c r="D149" s="347">
        <f>IF(F148+SUM(E$99:E148)=D$92,F148,D$92-SUM(E$99:E148))</f>
        <v>0</v>
      </c>
      <c r="E149" s="485">
        <f t="shared" si="32"/>
        <v>0</v>
      </c>
      <c r="F149" s="486">
        <f t="shared" si="33"/>
        <v>0</v>
      </c>
      <c r="G149" s="486">
        <f t="shared" si="34"/>
        <v>0</v>
      </c>
      <c r="H149" s="487">
        <f t="shared" si="37"/>
        <v>0</v>
      </c>
      <c r="I149" s="543">
        <f t="shared" si="38"/>
        <v>0</v>
      </c>
      <c r="J149" s="479">
        <f t="shared" si="26"/>
        <v>0</v>
      </c>
      <c r="K149" s="479"/>
      <c r="L149" s="488"/>
      <c r="M149" s="479">
        <f t="shared" si="39"/>
        <v>0</v>
      </c>
      <c r="N149" s="488"/>
      <c r="O149" s="479">
        <f t="shared" si="40"/>
        <v>0</v>
      </c>
      <c r="P149" s="479">
        <f t="shared" si="41"/>
        <v>0</v>
      </c>
    </row>
    <row r="150" spans="2:16" ht="12.5">
      <c r="B150" s="160" t="str">
        <f t="shared" si="25"/>
        <v/>
      </c>
      <c r="C150" s="473">
        <f>IF(D93="","-",+C149+1)</f>
        <v>2064</v>
      </c>
      <c r="D150" s="347">
        <f>IF(F149+SUM(E$99:E149)=D$92,F149,D$92-SUM(E$99:E149))</f>
        <v>0</v>
      </c>
      <c r="E150" s="485">
        <f t="shared" si="32"/>
        <v>0</v>
      </c>
      <c r="F150" s="486">
        <f t="shared" si="33"/>
        <v>0</v>
      </c>
      <c r="G150" s="486">
        <f t="shared" si="34"/>
        <v>0</v>
      </c>
      <c r="H150" s="487">
        <f t="shared" si="37"/>
        <v>0</v>
      </c>
      <c r="I150" s="543">
        <f t="shared" si="38"/>
        <v>0</v>
      </c>
      <c r="J150" s="479">
        <f t="shared" si="26"/>
        <v>0</v>
      </c>
      <c r="K150" s="479"/>
      <c r="L150" s="488"/>
      <c r="M150" s="479">
        <f t="shared" si="39"/>
        <v>0</v>
      </c>
      <c r="N150" s="488"/>
      <c r="O150" s="479">
        <f t="shared" si="40"/>
        <v>0</v>
      </c>
      <c r="P150" s="479">
        <f t="shared" si="41"/>
        <v>0</v>
      </c>
    </row>
    <row r="151" spans="2:16" ht="12.5">
      <c r="B151" s="160" t="str">
        <f t="shared" si="25"/>
        <v/>
      </c>
      <c r="C151" s="473">
        <f>IF(D93="","-",+C150+1)</f>
        <v>2065</v>
      </c>
      <c r="D151" s="347">
        <f>IF(F150+SUM(E$99:E150)=D$92,F150,D$92-SUM(E$99:E150))</f>
        <v>0</v>
      </c>
      <c r="E151" s="485">
        <f t="shared" si="32"/>
        <v>0</v>
      </c>
      <c r="F151" s="486">
        <f t="shared" si="33"/>
        <v>0</v>
      </c>
      <c r="G151" s="486">
        <f t="shared" si="34"/>
        <v>0</v>
      </c>
      <c r="H151" s="487">
        <f t="shared" si="37"/>
        <v>0</v>
      </c>
      <c r="I151" s="543">
        <f t="shared" si="38"/>
        <v>0</v>
      </c>
      <c r="J151" s="479">
        <f t="shared" si="26"/>
        <v>0</v>
      </c>
      <c r="K151" s="479"/>
      <c r="L151" s="488"/>
      <c r="M151" s="479">
        <f t="shared" si="39"/>
        <v>0</v>
      </c>
      <c r="N151" s="488"/>
      <c r="O151" s="479">
        <f t="shared" si="40"/>
        <v>0</v>
      </c>
      <c r="P151" s="479">
        <f t="shared" si="41"/>
        <v>0</v>
      </c>
    </row>
    <row r="152" spans="2:16" ht="12.5">
      <c r="B152" s="160" t="str">
        <f t="shared" si="25"/>
        <v/>
      </c>
      <c r="C152" s="473">
        <f>IF(D93="","-",+C151+1)</f>
        <v>2066</v>
      </c>
      <c r="D152" s="347">
        <f>IF(F151+SUM(E$99:E151)=D$92,F151,D$92-SUM(E$99:E151))</f>
        <v>0</v>
      </c>
      <c r="E152" s="485">
        <f t="shared" si="32"/>
        <v>0</v>
      </c>
      <c r="F152" s="486">
        <f t="shared" si="33"/>
        <v>0</v>
      </c>
      <c r="G152" s="486">
        <f t="shared" si="34"/>
        <v>0</v>
      </c>
      <c r="H152" s="487">
        <f t="shared" si="37"/>
        <v>0</v>
      </c>
      <c r="I152" s="543">
        <f t="shared" si="38"/>
        <v>0</v>
      </c>
      <c r="J152" s="479">
        <f t="shared" si="26"/>
        <v>0</v>
      </c>
      <c r="K152" s="479"/>
      <c r="L152" s="488"/>
      <c r="M152" s="479">
        <f t="shared" si="39"/>
        <v>0</v>
      </c>
      <c r="N152" s="488"/>
      <c r="O152" s="479">
        <f t="shared" si="40"/>
        <v>0</v>
      </c>
      <c r="P152" s="479">
        <f t="shared" si="41"/>
        <v>0</v>
      </c>
    </row>
    <row r="153" spans="2:16" ht="12.5">
      <c r="B153" s="160" t="str">
        <f t="shared" si="25"/>
        <v/>
      </c>
      <c r="C153" s="473">
        <f>IF(D93="","-",+C152+1)</f>
        <v>2067</v>
      </c>
      <c r="D153" s="347">
        <f>IF(F152+SUM(E$99:E152)=D$92,F152,D$92-SUM(E$99:E152))</f>
        <v>0</v>
      </c>
      <c r="E153" s="485">
        <f t="shared" si="32"/>
        <v>0</v>
      </c>
      <c r="F153" s="486">
        <f t="shared" si="33"/>
        <v>0</v>
      </c>
      <c r="G153" s="486">
        <f t="shared" si="34"/>
        <v>0</v>
      </c>
      <c r="H153" s="489">
        <f t="shared" ref="H153:H154" si="42">+J$94*G153+E153</f>
        <v>0</v>
      </c>
      <c r="I153" s="543">
        <f t="shared" si="35"/>
        <v>0</v>
      </c>
      <c r="J153" s="479">
        <f t="shared" si="26"/>
        <v>0</v>
      </c>
      <c r="K153" s="479"/>
      <c r="L153" s="488"/>
      <c r="M153" s="479">
        <f t="shared" si="39"/>
        <v>0</v>
      </c>
      <c r="N153" s="488"/>
      <c r="O153" s="479">
        <f t="shared" si="40"/>
        <v>0</v>
      </c>
      <c r="P153" s="479">
        <f t="shared" si="41"/>
        <v>0</v>
      </c>
    </row>
    <row r="154" spans="2:16" ht="13" thickBot="1">
      <c r="B154" s="160" t="str">
        <f t="shared" si="25"/>
        <v/>
      </c>
      <c r="C154" s="490">
        <f>IF(D93="","-",+C153+1)</f>
        <v>2068</v>
      </c>
      <c r="D154" s="577">
        <f>IF(F153+SUM(E$99:E153)=D$92,F153,D$92-SUM(E$99:E153))</f>
        <v>0</v>
      </c>
      <c r="E154" s="492">
        <f t="shared" si="32"/>
        <v>0</v>
      </c>
      <c r="F154" s="491">
        <f t="shared" si="33"/>
        <v>0</v>
      </c>
      <c r="G154" s="491">
        <f t="shared" si="34"/>
        <v>0</v>
      </c>
      <c r="H154" s="493">
        <f t="shared" si="42"/>
        <v>0</v>
      </c>
      <c r="I154" s="546">
        <f t="shared" si="35"/>
        <v>0</v>
      </c>
      <c r="J154" s="496">
        <f t="shared" si="26"/>
        <v>0</v>
      </c>
      <c r="K154" s="496"/>
      <c r="L154" s="495"/>
      <c r="M154" s="496">
        <f t="shared" si="39"/>
        <v>0</v>
      </c>
      <c r="N154" s="495"/>
      <c r="O154" s="496">
        <f t="shared" si="40"/>
        <v>0</v>
      </c>
      <c r="P154" s="496">
        <f t="shared" si="41"/>
        <v>0</v>
      </c>
    </row>
    <row r="155" spans="2:16" ht="12.5">
      <c r="C155" s="347" t="s">
        <v>77</v>
      </c>
      <c r="D155" s="348"/>
      <c r="E155" s="348">
        <f>SUM(E99:E154)</f>
        <v>1035552</v>
      </c>
      <c r="F155" s="348"/>
      <c r="G155" s="348"/>
      <c r="H155" s="348">
        <f>SUM(H99:H154)</f>
        <v>3691754.7267217669</v>
      </c>
      <c r="I155" s="348">
        <f>SUM(I99:I154)</f>
        <v>3691754.7267217669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P162"/>
  <sheetViews>
    <sheetView view="pageBreakPreview" topLeftCell="A61" zoomScale="80" zoomScaleNormal="100" zoomScaleSheetLayoutView="80" workbookViewId="0">
      <selection activeCell="H105" sqref="H105:I10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15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263885.04985844565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263885.04985844565</v>
      </c>
      <c r="O6" s="233"/>
      <c r="P6" s="233"/>
    </row>
    <row r="7" spans="1:16" ht="13.5" thickBot="1">
      <c r="C7" s="432" t="s">
        <v>46</v>
      </c>
      <c r="D7" s="600" t="s">
        <v>253</v>
      </c>
      <c r="E7" s="601"/>
      <c r="F7" s="601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573" t="s">
        <v>252</v>
      </c>
      <c r="E9" s="578" t="s">
        <v>261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2246628.5699999998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2014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2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52247.176046511624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2014</v>
      </c>
      <c r="D17" s="585">
        <v>2295000</v>
      </c>
      <c r="E17" s="609">
        <v>36778.846153846156</v>
      </c>
      <c r="F17" s="585">
        <v>2258221.153846154</v>
      </c>
      <c r="G17" s="609">
        <v>347642.78736560291</v>
      </c>
      <c r="H17" s="588">
        <v>347642.78736560291</v>
      </c>
      <c r="I17" s="476">
        <v>0</v>
      </c>
      <c r="J17" s="476"/>
      <c r="K17" s="477">
        <f t="shared" ref="K17:K22" si="0">G17</f>
        <v>347642.78736560291</v>
      </c>
      <c r="L17" s="604">
        <f t="shared" ref="L17:L22" si="1">IF(K17&lt;&gt;0,+G17-K17,0)</f>
        <v>0</v>
      </c>
      <c r="M17" s="477">
        <f t="shared" ref="M17:M22" si="2">H17</f>
        <v>347642.78736560291</v>
      </c>
      <c r="N17" s="479">
        <f>IF(M17&lt;&gt;0,+H17-M17,0)</f>
        <v>0</v>
      </c>
      <c r="O17" s="476">
        <f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2015</v>
      </c>
      <c r="D18" s="585">
        <v>2258221.153846154</v>
      </c>
      <c r="E18" s="586">
        <v>43204.395576923074</v>
      </c>
      <c r="F18" s="585">
        <v>2215016.7582692308</v>
      </c>
      <c r="G18" s="586">
        <v>348592.42580485216</v>
      </c>
      <c r="H18" s="588">
        <v>348592.42580485216</v>
      </c>
      <c r="I18" s="476">
        <v>0</v>
      </c>
      <c r="J18" s="476"/>
      <c r="K18" s="477">
        <f t="shared" si="0"/>
        <v>348592.42580485216</v>
      </c>
      <c r="L18" s="604">
        <f t="shared" si="1"/>
        <v>0</v>
      </c>
      <c r="M18" s="477">
        <f t="shared" si="2"/>
        <v>348592.42580485216</v>
      </c>
      <c r="N18" s="479">
        <f>IF(M18&lt;&gt;0,+H18-M18,0)</f>
        <v>0</v>
      </c>
      <c r="O18" s="476">
        <f>+N18-L18</f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2016</v>
      </c>
      <c r="D19" s="585">
        <v>2166645.3282692307</v>
      </c>
      <c r="E19" s="586">
        <v>43204.395576923074</v>
      </c>
      <c r="F19" s="585">
        <v>2123440.9326923075</v>
      </c>
      <c r="G19" s="586">
        <v>321714.3955769231</v>
      </c>
      <c r="H19" s="588">
        <v>321714.3955769231</v>
      </c>
      <c r="I19" s="476">
        <f>H19-G19</f>
        <v>0</v>
      </c>
      <c r="J19" s="476"/>
      <c r="K19" s="477">
        <f t="shared" si="0"/>
        <v>321714.3955769231</v>
      </c>
      <c r="L19" s="604">
        <f t="shared" si="1"/>
        <v>0</v>
      </c>
      <c r="M19" s="477">
        <f t="shared" si="2"/>
        <v>321714.3955769231</v>
      </c>
      <c r="N19" s="479">
        <f>IF(M19&lt;&gt;0,+H19-M19,0)</f>
        <v>0</v>
      </c>
      <c r="O19" s="476">
        <f>+N19-L19</f>
        <v>0</v>
      </c>
      <c r="P19" s="243"/>
    </row>
    <row r="20" spans="2:16" ht="12.5">
      <c r="B20" s="160" t="str">
        <f t="shared" ref="B20:B72" si="3">IF(D20=F19,"","IU")</f>
        <v/>
      </c>
      <c r="C20" s="473">
        <f>IF(D11="","-",+C19+1)</f>
        <v>2017</v>
      </c>
      <c r="D20" s="585">
        <v>2123440.9326923075</v>
      </c>
      <c r="E20" s="586">
        <v>48839.751521739126</v>
      </c>
      <c r="F20" s="585">
        <v>2074601.1811705683</v>
      </c>
      <c r="G20" s="586">
        <v>312854.75152173912</v>
      </c>
      <c r="H20" s="588">
        <v>312854.75152173912</v>
      </c>
      <c r="I20" s="476">
        <f t="shared" ref="I20:I72" si="4">H20-G20</f>
        <v>0</v>
      </c>
      <c r="J20" s="476"/>
      <c r="K20" s="477">
        <f t="shared" si="0"/>
        <v>312854.75152173912</v>
      </c>
      <c r="L20" s="604">
        <f t="shared" si="1"/>
        <v>0</v>
      </c>
      <c r="M20" s="477">
        <f t="shared" si="2"/>
        <v>312854.75152173912</v>
      </c>
      <c r="N20" s="479">
        <f>IF(M20&lt;&gt;0,+H20-M20,0)</f>
        <v>0</v>
      </c>
      <c r="O20" s="476">
        <f>+N20-L20</f>
        <v>0</v>
      </c>
      <c r="P20" s="243"/>
    </row>
    <row r="21" spans="2:16" ht="12.5">
      <c r="B21" s="160" t="str">
        <f t="shared" si="3"/>
        <v/>
      </c>
      <c r="C21" s="473">
        <f>IF(D11="","-",+C20+1)</f>
        <v>2018</v>
      </c>
      <c r="D21" s="585">
        <v>2074601.1811705683</v>
      </c>
      <c r="E21" s="586">
        <v>49925.079333333328</v>
      </c>
      <c r="F21" s="585">
        <v>2024676.101837235</v>
      </c>
      <c r="G21" s="586">
        <v>323935.0793333333</v>
      </c>
      <c r="H21" s="588">
        <v>323935.0793333333</v>
      </c>
      <c r="I21" s="476">
        <f t="shared" si="4"/>
        <v>0</v>
      </c>
      <c r="J21" s="476"/>
      <c r="K21" s="477">
        <f t="shared" si="0"/>
        <v>323935.0793333333</v>
      </c>
      <c r="L21" s="604">
        <f t="shared" si="1"/>
        <v>0</v>
      </c>
      <c r="M21" s="477">
        <f t="shared" si="2"/>
        <v>323935.0793333333</v>
      </c>
      <c r="N21" s="479">
        <f>IF(M21&lt;&gt;0,+H21-M21,0)</f>
        <v>0</v>
      </c>
      <c r="O21" s="476">
        <f>+N21-L21</f>
        <v>0</v>
      </c>
      <c r="P21" s="243"/>
    </row>
    <row r="22" spans="2:16" ht="12.5">
      <c r="B22" s="160" t="str">
        <f t="shared" si="3"/>
        <v/>
      </c>
      <c r="C22" s="473">
        <f>IF(D11="","-",+C21+1)</f>
        <v>2019</v>
      </c>
      <c r="D22" s="585">
        <v>2024676.101837235</v>
      </c>
      <c r="E22" s="586">
        <v>49925.079333333328</v>
      </c>
      <c r="F22" s="585">
        <v>1974751.0225039017</v>
      </c>
      <c r="G22" s="586">
        <v>317179.0793333333</v>
      </c>
      <c r="H22" s="588">
        <v>317179.0793333333</v>
      </c>
      <c r="I22" s="476">
        <f t="shared" si="4"/>
        <v>0</v>
      </c>
      <c r="J22" s="476"/>
      <c r="K22" s="477">
        <f t="shared" si="0"/>
        <v>317179.0793333333</v>
      </c>
      <c r="L22" s="604">
        <f t="shared" si="1"/>
        <v>0</v>
      </c>
      <c r="M22" s="477">
        <f t="shared" si="2"/>
        <v>317179.0793333333</v>
      </c>
      <c r="N22" s="479">
        <f t="shared" ref="N22:N72" si="5">IF(M22&lt;&gt;0,+H22-M22,0)</f>
        <v>0</v>
      </c>
      <c r="O22" s="479">
        <f t="shared" ref="O22:O72" si="6">+N22-L22</f>
        <v>0</v>
      </c>
      <c r="P22" s="243"/>
    </row>
    <row r="23" spans="2:16" ht="12.5">
      <c r="B23" s="160" t="str">
        <f t="shared" si="3"/>
        <v/>
      </c>
      <c r="C23" s="473">
        <f>IF(D11="","-",+C22+1)</f>
        <v>2020</v>
      </c>
      <c r="D23" s="585">
        <v>1974751.0225039017</v>
      </c>
      <c r="E23" s="586">
        <v>53491.156428571427</v>
      </c>
      <c r="F23" s="585">
        <v>1921259.8660753304</v>
      </c>
      <c r="G23" s="586">
        <v>263885.04985844565</v>
      </c>
      <c r="H23" s="588">
        <v>263885.04985844565</v>
      </c>
      <c r="I23" s="476">
        <f t="shared" si="4"/>
        <v>0</v>
      </c>
      <c r="J23" s="476"/>
      <c r="K23" s="477">
        <f t="shared" ref="K23" si="7">G23</f>
        <v>263885.04985844565</v>
      </c>
      <c r="L23" s="604">
        <f t="shared" ref="L23" si="8">IF(K23&lt;&gt;0,+G23-K23,0)</f>
        <v>0</v>
      </c>
      <c r="M23" s="477">
        <f t="shared" ref="M23" si="9">H23</f>
        <v>263885.04985844565</v>
      </c>
      <c r="N23" s="479">
        <f t="shared" si="5"/>
        <v>0</v>
      </c>
      <c r="O23" s="479">
        <f t="shared" si="6"/>
        <v>0</v>
      </c>
      <c r="P23" s="243"/>
    </row>
    <row r="24" spans="2:16" ht="12.5">
      <c r="B24" s="160" t="str">
        <f t="shared" si="3"/>
        <v/>
      </c>
      <c r="C24" s="473">
        <f>IF(D11="","-",+C23+1)</f>
        <v>2021</v>
      </c>
      <c r="D24" s="486">
        <f>IF(F23+SUM(E$17:E23)=D$10,F23,D$10-SUM(E$17:E23))</f>
        <v>1921259.8660753304</v>
      </c>
      <c r="E24" s="485">
        <f t="shared" ref="E24:E72" si="10">IF(+$I$14&lt;F23,$I$14,D24)</f>
        <v>52247.176046511624</v>
      </c>
      <c r="F24" s="486">
        <f t="shared" ref="F24:F72" si="11">+D24-E24</f>
        <v>1869012.6900288188</v>
      </c>
      <c r="G24" s="487">
        <f t="shared" ref="G24:G72" si="12">(D24+F24)/2*I$12+E24</f>
        <v>270294.61101143097</v>
      </c>
      <c r="H24" s="456">
        <f t="shared" ref="H24:H72" si="13">+(D24+F24)/2*I$13+E24</f>
        <v>270294.61101143097</v>
      </c>
      <c r="I24" s="476">
        <f t="shared" si="4"/>
        <v>0</v>
      </c>
      <c r="J24" s="476"/>
      <c r="K24" s="488"/>
      <c r="L24" s="479">
        <f t="shared" ref="L24:L72" si="14">IF(K24&lt;&gt;0,+G24-K24,0)</f>
        <v>0</v>
      </c>
      <c r="M24" s="488"/>
      <c r="N24" s="479">
        <f t="shared" si="5"/>
        <v>0</v>
      </c>
      <c r="O24" s="479">
        <f t="shared" si="6"/>
        <v>0</v>
      </c>
      <c r="P24" s="243"/>
    </row>
    <row r="25" spans="2:16" ht="12.5">
      <c r="B25" s="160" t="str">
        <f t="shared" si="3"/>
        <v/>
      </c>
      <c r="C25" s="473">
        <f>IF(D11="","-",+C24+1)</f>
        <v>2022</v>
      </c>
      <c r="D25" s="486">
        <f>IF(F24+SUM(E$17:E24)=D$10,F24,D$10-SUM(E$17:E24))</f>
        <v>1869012.6900288188</v>
      </c>
      <c r="E25" s="485">
        <f t="shared" si="10"/>
        <v>52247.176046511624</v>
      </c>
      <c r="F25" s="486">
        <f t="shared" si="11"/>
        <v>1816765.5139823072</v>
      </c>
      <c r="G25" s="487">
        <f t="shared" si="12"/>
        <v>264283.24240800145</v>
      </c>
      <c r="H25" s="456">
        <f t="shared" si="13"/>
        <v>264283.24240800145</v>
      </c>
      <c r="I25" s="476">
        <f t="shared" si="4"/>
        <v>0</v>
      </c>
      <c r="J25" s="476"/>
      <c r="K25" s="488"/>
      <c r="L25" s="479">
        <f t="shared" si="14"/>
        <v>0</v>
      </c>
      <c r="M25" s="488"/>
      <c r="N25" s="479">
        <f t="shared" si="5"/>
        <v>0</v>
      </c>
      <c r="O25" s="479">
        <f t="shared" si="6"/>
        <v>0</v>
      </c>
      <c r="P25" s="243"/>
    </row>
    <row r="26" spans="2:16" ht="12.5">
      <c r="B26" s="160" t="str">
        <f t="shared" si="3"/>
        <v/>
      </c>
      <c r="C26" s="473">
        <f>IF(D11="","-",+C25+1)</f>
        <v>2023</v>
      </c>
      <c r="D26" s="486">
        <f>IF(F25+SUM(E$17:E25)=D$10,F25,D$10-SUM(E$17:E25))</f>
        <v>1816765.5139823072</v>
      </c>
      <c r="E26" s="485">
        <f t="shared" si="10"/>
        <v>52247.176046511624</v>
      </c>
      <c r="F26" s="486">
        <f t="shared" si="11"/>
        <v>1764518.3379357955</v>
      </c>
      <c r="G26" s="487">
        <f t="shared" si="12"/>
        <v>258271.87380457198</v>
      </c>
      <c r="H26" s="456">
        <f t="shared" si="13"/>
        <v>258271.87380457198</v>
      </c>
      <c r="I26" s="476">
        <f t="shared" si="4"/>
        <v>0</v>
      </c>
      <c r="J26" s="476"/>
      <c r="K26" s="488"/>
      <c r="L26" s="479">
        <f t="shared" si="14"/>
        <v>0</v>
      </c>
      <c r="M26" s="488"/>
      <c r="N26" s="479">
        <f t="shared" si="5"/>
        <v>0</v>
      </c>
      <c r="O26" s="479">
        <f t="shared" si="6"/>
        <v>0</v>
      </c>
      <c r="P26" s="243"/>
    </row>
    <row r="27" spans="2:16" ht="12.5">
      <c r="B27" s="160" t="str">
        <f t="shared" si="3"/>
        <v/>
      </c>
      <c r="C27" s="473">
        <f>IF(D11="","-",+C26+1)</f>
        <v>2024</v>
      </c>
      <c r="D27" s="486">
        <f>IF(F26+SUM(E$17:E26)=D$10,F26,D$10-SUM(E$17:E26))</f>
        <v>1764518.3379357955</v>
      </c>
      <c r="E27" s="485">
        <f t="shared" si="10"/>
        <v>52247.176046511624</v>
      </c>
      <c r="F27" s="486">
        <f t="shared" si="11"/>
        <v>1712271.1618892839</v>
      </c>
      <c r="G27" s="487">
        <f t="shared" si="12"/>
        <v>252260.50520114251</v>
      </c>
      <c r="H27" s="456">
        <f t="shared" si="13"/>
        <v>252260.50520114251</v>
      </c>
      <c r="I27" s="476">
        <f t="shared" si="4"/>
        <v>0</v>
      </c>
      <c r="J27" s="476"/>
      <c r="K27" s="488"/>
      <c r="L27" s="479">
        <f t="shared" si="14"/>
        <v>0</v>
      </c>
      <c r="M27" s="488"/>
      <c r="N27" s="479">
        <f t="shared" si="5"/>
        <v>0</v>
      </c>
      <c r="O27" s="479">
        <f t="shared" si="6"/>
        <v>0</v>
      </c>
      <c r="P27" s="243"/>
    </row>
    <row r="28" spans="2:16" ht="12.5">
      <c r="B28" s="160" t="str">
        <f t="shared" si="3"/>
        <v/>
      </c>
      <c r="C28" s="473">
        <f>IF(D11="","-",+C27+1)</f>
        <v>2025</v>
      </c>
      <c r="D28" s="486">
        <f>IF(F27+SUM(E$17:E27)=D$10,F27,D$10-SUM(E$17:E27))</f>
        <v>1712271.1618892839</v>
      </c>
      <c r="E28" s="485">
        <f t="shared" si="10"/>
        <v>52247.176046511624</v>
      </c>
      <c r="F28" s="486">
        <f t="shared" si="11"/>
        <v>1660023.9858427723</v>
      </c>
      <c r="G28" s="487">
        <f t="shared" si="12"/>
        <v>246249.13659771305</v>
      </c>
      <c r="H28" s="456">
        <f t="shared" si="13"/>
        <v>246249.13659771305</v>
      </c>
      <c r="I28" s="476">
        <f t="shared" si="4"/>
        <v>0</v>
      </c>
      <c r="J28" s="476"/>
      <c r="K28" s="488"/>
      <c r="L28" s="479">
        <f t="shared" si="14"/>
        <v>0</v>
      </c>
      <c r="M28" s="488"/>
      <c r="N28" s="479">
        <f t="shared" si="5"/>
        <v>0</v>
      </c>
      <c r="O28" s="479">
        <f t="shared" si="6"/>
        <v>0</v>
      </c>
      <c r="P28" s="243"/>
    </row>
    <row r="29" spans="2:16" ht="12.5">
      <c r="B29" s="160" t="str">
        <f t="shared" si="3"/>
        <v/>
      </c>
      <c r="C29" s="473">
        <f>IF(D11="","-",+C28+1)</f>
        <v>2026</v>
      </c>
      <c r="D29" s="486">
        <f>IF(F28+SUM(E$17:E28)=D$10,F28,D$10-SUM(E$17:E28))</f>
        <v>1660023.9858427723</v>
      </c>
      <c r="E29" s="485">
        <f t="shared" si="10"/>
        <v>52247.176046511624</v>
      </c>
      <c r="F29" s="486">
        <f t="shared" si="11"/>
        <v>1607776.8097962607</v>
      </c>
      <c r="G29" s="487">
        <f t="shared" si="12"/>
        <v>240237.76799428355</v>
      </c>
      <c r="H29" s="456">
        <f t="shared" si="13"/>
        <v>240237.76799428355</v>
      </c>
      <c r="I29" s="476">
        <f t="shared" si="4"/>
        <v>0</v>
      </c>
      <c r="J29" s="476"/>
      <c r="K29" s="488"/>
      <c r="L29" s="479">
        <f t="shared" si="14"/>
        <v>0</v>
      </c>
      <c r="M29" s="488"/>
      <c r="N29" s="479">
        <f t="shared" si="5"/>
        <v>0</v>
      </c>
      <c r="O29" s="479">
        <f t="shared" si="6"/>
        <v>0</v>
      </c>
      <c r="P29" s="243"/>
    </row>
    <row r="30" spans="2:16" ht="12.5">
      <c r="B30" s="160" t="str">
        <f t="shared" si="3"/>
        <v/>
      </c>
      <c r="C30" s="473">
        <f>IF(D11="","-",+C29+1)</f>
        <v>2027</v>
      </c>
      <c r="D30" s="486">
        <f>IF(F29+SUM(E$17:E29)=D$10,F29,D$10-SUM(E$17:E29))</f>
        <v>1607776.8097962607</v>
      </c>
      <c r="E30" s="485">
        <f t="shared" si="10"/>
        <v>52247.176046511624</v>
      </c>
      <c r="F30" s="486">
        <f t="shared" si="11"/>
        <v>1555529.633749749</v>
      </c>
      <c r="G30" s="487">
        <f t="shared" si="12"/>
        <v>234226.39939085409</v>
      </c>
      <c r="H30" s="456">
        <f t="shared" si="13"/>
        <v>234226.39939085409</v>
      </c>
      <c r="I30" s="476">
        <f t="shared" si="4"/>
        <v>0</v>
      </c>
      <c r="J30" s="476"/>
      <c r="K30" s="488"/>
      <c r="L30" s="479">
        <f t="shared" si="14"/>
        <v>0</v>
      </c>
      <c r="M30" s="488"/>
      <c r="N30" s="479">
        <f t="shared" si="5"/>
        <v>0</v>
      </c>
      <c r="O30" s="479">
        <f t="shared" si="6"/>
        <v>0</v>
      </c>
      <c r="P30" s="243"/>
    </row>
    <row r="31" spans="2:16" ht="12.5">
      <c r="B31" s="160" t="str">
        <f t="shared" si="3"/>
        <v/>
      </c>
      <c r="C31" s="473">
        <f>IF(D11="","-",+C30+1)</f>
        <v>2028</v>
      </c>
      <c r="D31" s="486">
        <f>IF(F30+SUM(E$17:E30)=D$10,F30,D$10-SUM(E$17:E30))</f>
        <v>1555529.633749749</v>
      </c>
      <c r="E31" s="485">
        <f t="shared" si="10"/>
        <v>52247.176046511624</v>
      </c>
      <c r="F31" s="486">
        <f t="shared" si="11"/>
        <v>1503282.4577032374</v>
      </c>
      <c r="G31" s="487">
        <f t="shared" si="12"/>
        <v>228215.03078742462</v>
      </c>
      <c r="H31" s="456">
        <f t="shared" si="13"/>
        <v>228215.03078742462</v>
      </c>
      <c r="I31" s="476">
        <f t="shared" si="4"/>
        <v>0</v>
      </c>
      <c r="J31" s="476"/>
      <c r="K31" s="488"/>
      <c r="L31" s="479">
        <f t="shared" si="14"/>
        <v>0</v>
      </c>
      <c r="M31" s="488"/>
      <c r="N31" s="479">
        <f t="shared" si="5"/>
        <v>0</v>
      </c>
      <c r="O31" s="479">
        <f t="shared" si="6"/>
        <v>0</v>
      </c>
      <c r="P31" s="243"/>
    </row>
    <row r="32" spans="2:16" ht="12.5">
      <c r="B32" s="160" t="str">
        <f t="shared" si="3"/>
        <v/>
      </c>
      <c r="C32" s="473">
        <f>IF(D11="","-",+C31+1)</f>
        <v>2029</v>
      </c>
      <c r="D32" s="486">
        <f>IF(F31+SUM(E$17:E31)=D$10,F31,D$10-SUM(E$17:E31))</f>
        <v>1503282.4577032374</v>
      </c>
      <c r="E32" s="485">
        <f t="shared" si="10"/>
        <v>52247.176046511624</v>
      </c>
      <c r="F32" s="486">
        <f t="shared" si="11"/>
        <v>1451035.2816567258</v>
      </c>
      <c r="G32" s="487">
        <f t="shared" si="12"/>
        <v>222203.66218399513</v>
      </c>
      <c r="H32" s="456">
        <f t="shared" si="13"/>
        <v>222203.66218399513</v>
      </c>
      <c r="I32" s="476">
        <f t="shared" si="4"/>
        <v>0</v>
      </c>
      <c r="J32" s="476"/>
      <c r="K32" s="488"/>
      <c r="L32" s="479">
        <f t="shared" si="14"/>
        <v>0</v>
      </c>
      <c r="M32" s="488"/>
      <c r="N32" s="479">
        <f t="shared" si="5"/>
        <v>0</v>
      </c>
      <c r="O32" s="479">
        <f t="shared" si="6"/>
        <v>0</v>
      </c>
      <c r="P32" s="243"/>
    </row>
    <row r="33" spans="2:16" ht="12.5">
      <c r="B33" s="160" t="str">
        <f t="shared" si="3"/>
        <v/>
      </c>
      <c r="C33" s="473">
        <f>IF(D11="","-",+C32+1)</f>
        <v>2030</v>
      </c>
      <c r="D33" s="486">
        <f>IF(F32+SUM(E$17:E32)=D$10,F32,D$10-SUM(E$17:E32))</f>
        <v>1451035.2816567258</v>
      </c>
      <c r="E33" s="485">
        <f t="shared" si="10"/>
        <v>52247.176046511624</v>
      </c>
      <c r="F33" s="486">
        <f t="shared" si="11"/>
        <v>1398788.1056102142</v>
      </c>
      <c r="G33" s="487">
        <f t="shared" si="12"/>
        <v>216192.29358056566</v>
      </c>
      <c r="H33" s="456">
        <f t="shared" si="13"/>
        <v>216192.29358056566</v>
      </c>
      <c r="I33" s="476">
        <f t="shared" si="4"/>
        <v>0</v>
      </c>
      <c r="J33" s="476"/>
      <c r="K33" s="488"/>
      <c r="L33" s="479">
        <f t="shared" si="14"/>
        <v>0</v>
      </c>
      <c r="M33" s="488"/>
      <c r="N33" s="479">
        <f t="shared" si="5"/>
        <v>0</v>
      </c>
      <c r="O33" s="479">
        <f t="shared" si="6"/>
        <v>0</v>
      </c>
      <c r="P33" s="243"/>
    </row>
    <row r="34" spans="2:16" ht="12.5">
      <c r="B34" s="160" t="str">
        <f t="shared" si="3"/>
        <v/>
      </c>
      <c r="C34" s="473">
        <f>IF(D11="","-",+C33+1)</f>
        <v>2031</v>
      </c>
      <c r="D34" s="486">
        <f>IF(F33+SUM(E$17:E33)=D$10,F33,D$10-SUM(E$17:E33))</f>
        <v>1398788.1056102142</v>
      </c>
      <c r="E34" s="485">
        <f t="shared" si="10"/>
        <v>52247.176046511624</v>
      </c>
      <c r="F34" s="486">
        <f t="shared" si="11"/>
        <v>1346540.9295637025</v>
      </c>
      <c r="G34" s="487">
        <f t="shared" si="12"/>
        <v>210180.92497713619</v>
      </c>
      <c r="H34" s="456">
        <f t="shared" si="13"/>
        <v>210180.92497713619</v>
      </c>
      <c r="I34" s="476">
        <f t="shared" si="4"/>
        <v>0</v>
      </c>
      <c r="J34" s="476"/>
      <c r="K34" s="488"/>
      <c r="L34" s="479">
        <f t="shared" si="14"/>
        <v>0</v>
      </c>
      <c r="M34" s="488"/>
      <c r="N34" s="479">
        <f t="shared" si="5"/>
        <v>0</v>
      </c>
      <c r="O34" s="479">
        <f t="shared" si="6"/>
        <v>0</v>
      </c>
      <c r="P34" s="243"/>
    </row>
    <row r="35" spans="2:16" ht="12.5">
      <c r="B35" s="160" t="str">
        <f t="shared" si="3"/>
        <v/>
      </c>
      <c r="C35" s="473">
        <f>IF(D11="","-",+C34+1)</f>
        <v>2032</v>
      </c>
      <c r="D35" s="486">
        <f>IF(F34+SUM(E$17:E34)=D$10,F34,D$10-SUM(E$17:E34))</f>
        <v>1346540.9295637025</v>
      </c>
      <c r="E35" s="485">
        <f t="shared" si="10"/>
        <v>52247.176046511624</v>
      </c>
      <c r="F35" s="486">
        <f t="shared" si="11"/>
        <v>1294293.7535171909</v>
      </c>
      <c r="G35" s="487">
        <f t="shared" si="12"/>
        <v>204169.5563737067</v>
      </c>
      <c r="H35" s="456">
        <f t="shared" si="13"/>
        <v>204169.5563737067</v>
      </c>
      <c r="I35" s="476">
        <f t="shared" si="4"/>
        <v>0</v>
      </c>
      <c r="J35" s="476"/>
      <c r="K35" s="488"/>
      <c r="L35" s="479">
        <f t="shared" si="14"/>
        <v>0</v>
      </c>
      <c r="M35" s="488"/>
      <c r="N35" s="479">
        <f t="shared" si="5"/>
        <v>0</v>
      </c>
      <c r="O35" s="479">
        <f t="shared" si="6"/>
        <v>0</v>
      </c>
      <c r="P35" s="243"/>
    </row>
    <row r="36" spans="2:16" ht="12.5">
      <c r="B36" s="160" t="str">
        <f t="shared" si="3"/>
        <v/>
      </c>
      <c r="C36" s="473">
        <f>IF(D11="","-",+C35+1)</f>
        <v>2033</v>
      </c>
      <c r="D36" s="486">
        <f>IF(F35+SUM(E$17:E35)=D$10,F35,D$10-SUM(E$17:E35))</f>
        <v>1294293.7535171909</v>
      </c>
      <c r="E36" s="485">
        <f t="shared" si="10"/>
        <v>52247.176046511624</v>
      </c>
      <c r="F36" s="486">
        <f t="shared" si="11"/>
        <v>1242046.5774706793</v>
      </c>
      <c r="G36" s="487">
        <f t="shared" si="12"/>
        <v>198158.18777027723</v>
      </c>
      <c r="H36" s="456">
        <f t="shared" si="13"/>
        <v>198158.18777027723</v>
      </c>
      <c r="I36" s="476">
        <f t="shared" si="4"/>
        <v>0</v>
      </c>
      <c r="J36" s="476"/>
      <c r="K36" s="488"/>
      <c r="L36" s="479">
        <f t="shared" si="14"/>
        <v>0</v>
      </c>
      <c r="M36" s="488"/>
      <c r="N36" s="479">
        <f t="shared" si="5"/>
        <v>0</v>
      </c>
      <c r="O36" s="479">
        <f t="shared" si="6"/>
        <v>0</v>
      </c>
      <c r="P36" s="243"/>
    </row>
    <row r="37" spans="2:16" ht="12.5">
      <c r="B37" s="160" t="str">
        <f t="shared" si="3"/>
        <v/>
      </c>
      <c r="C37" s="473">
        <f>IF(D11="","-",+C36+1)</f>
        <v>2034</v>
      </c>
      <c r="D37" s="486">
        <f>IF(F36+SUM(E$17:E36)=D$10,F36,D$10-SUM(E$17:E36))</f>
        <v>1242046.5774706793</v>
      </c>
      <c r="E37" s="485">
        <f t="shared" si="10"/>
        <v>52247.176046511624</v>
      </c>
      <c r="F37" s="486">
        <f t="shared" si="11"/>
        <v>1189799.4014241677</v>
      </c>
      <c r="G37" s="487">
        <f t="shared" si="12"/>
        <v>192146.81916684777</v>
      </c>
      <c r="H37" s="456">
        <f t="shared" si="13"/>
        <v>192146.81916684777</v>
      </c>
      <c r="I37" s="476">
        <f t="shared" si="4"/>
        <v>0</v>
      </c>
      <c r="J37" s="476"/>
      <c r="K37" s="488"/>
      <c r="L37" s="479">
        <f t="shared" si="14"/>
        <v>0</v>
      </c>
      <c r="M37" s="488"/>
      <c r="N37" s="479">
        <f t="shared" si="5"/>
        <v>0</v>
      </c>
      <c r="O37" s="479">
        <f t="shared" si="6"/>
        <v>0</v>
      </c>
      <c r="P37" s="243"/>
    </row>
    <row r="38" spans="2:16" ht="12.5">
      <c r="B38" s="160" t="str">
        <f t="shared" si="3"/>
        <v/>
      </c>
      <c r="C38" s="473">
        <f>IF(D11="","-",+C37+1)</f>
        <v>2035</v>
      </c>
      <c r="D38" s="486">
        <f>IF(F37+SUM(E$17:E37)=D$10,F37,D$10-SUM(E$17:E37))</f>
        <v>1189799.4014241677</v>
      </c>
      <c r="E38" s="485">
        <f t="shared" si="10"/>
        <v>52247.176046511624</v>
      </c>
      <c r="F38" s="486">
        <f t="shared" si="11"/>
        <v>1137552.2253776561</v>
      </c>
      <c r="G38" s="487">
        <f t="shared" si="12"/>
        <v>186135.45056341827</v>
      </c>
      <c r="H38" s="456">
        <f t="shared" si="13"/>
        <v>186135.45056341827</v>
      </c>
      <c r="I38" s="476">
        <f t="shared" si="4"/>
        <v>0</v>
      </c>
      <c r="J38" s="476"/>
      <c r="K38" s="488"/>
      <c r="L38" s="479">
        <f t="shared" si="14"/>
        <v>0</v>
      </c>
      <c r="M38" s="488"/>
      <c r="N38" s="479">
        <f t="shared" si="5"/>
        <v>0</v>
      </c>
      <c r="O38" s="479">
        <f t="shared" si="6"/>
        <v>0</v>
      </c>
      <c r="P38" s="243"/>
    </row>
    <row r="39" spans="2:16" ht="12.5">
      <c r="B39" s="160" t="str">
        <f t="shared" si="3"/>
        <v/>
      </c>
      <c r="C39" s="473">
        <f>IF(D11="","-",+C38+1)</f>
        <v>2036</v>
      </c>
      <c r="D39" s="486">
        <f>IF(F38+SUM(E$17:E38)=D$10,F38,D$10-SUM(E$17:E38))</f>
        <v>1137552.2253776561</v>
      </c>
      <c r="E39" s="485">
        <f t="shared" si="10"/>
        <v>52247.176046511624</v>
      </c>
      <c r="F39" s="486">
        <f t="shared" si="11"/>
        <v>1085305.0493311444</v>
      </c>
      <c r="G39" s="487">
        <f t="shared" si="12"/>
        <v>180124.08195998881</v>
      </c>
      <c r="H39" s="456">
        <f t="shared" si="13"/>
        <v>180124.08195998881</v>
      </c>
      <c r="I39" s="476">
        <f t="shared" si="4"/>
        <v>0</v>
      </c>
      <c r="J39" s="476"/>
      <c r="K39" s="488"/>
      <c r="L39" s="479">
        <f t="shared" si="14"/>
        <v>0</v>
      </c>
      <c r="M39" s="488"/>
      <c r="N39" s="479">
        <f t="shared" si="5"/>
        <v>0</v>
      </c>
      <c r="O39" s="479">
        <f t="shared" si="6"/>
        <v>0</v>
      </c>
      <c r="P39" s="243"/>
    </row>
    <row r="40" spans="2:16" ht="12.5">
      <c r="B40" s="160" t="str">
        <f t="shared" si="3"/>
        <v/>
      </c>
      <c r="C40" s="473">
        <f>IF(D11="","-",+C39+1)</f>
        <v>2037</v>
      </c>
      <c r="D40" s="486">
        <f>IF(F39+SUM(E$17:E39)=D$10,F39,D$10-SUM(E$17:E39))</f>
        <v>1085305.0493311444</v>
      </c>
      <c r="E40" s="485">
        <f t="shared" si="10"/>
        <v>52247.176046511624</v>
      </c>
      <c r="F40" s="486">
        <f t="shared" si="11"/>
        <v>1033057.8732846328</v>
      </c>
      <c r="G40" s="487">
        <f t="shared" si="12"/>
        <v>174112.71335655934</v>
      </c>
      <c r="H40" s="456">
        <f t="shared" si="13"/>
        <v>174112.71335655934</v>
      </c>
      <c r="I40" s="476">
        <f t="shared" si="4"/>
        <v>0</v>
      </c>
      <c r="J40" s="476"/>
      <c r="K40" s="488"/>
      <c r="L40" s="479">
        <f t="shared" si="14"/>
        <v>0</v>
      </c>
      <c r="M40" s="488"/>
      <c r="N40" s="479">
        <f t="shared" si="5"/>
        <v>0</v>
      </c>
      <c r="O40" s="479">
        <f t="shared" si="6"/>
        <v>0</v>
      </c>
      <c r="P40" s="243"/>
    </row>
    <row r="41" spans="2:16" ht="12.5">
      <c r="B41" s="160" t="str">
        <f t="shared" si="3"/>
        <v/>
      </c>
      <c r="C41" s="473">
        <f>IF(D11="","-",+C40+1)</f>
        <v>2038</v>
      </c>
      <c r="D41" s="486">
        <f>IF(F40+SUM(E$17:E40)=D$10,F40,D$10-SUM(E$17:E40))</f>
        <v>1033057.8732846328</v>
      </c>
      <c r="E41" s="485">
        <f t="shared" si="10"/>
        <v>52247.176046511624</v>
      </c>
      <c r="F41" s="486">
        <f t="shared" si="11"/>
        <v>980810.69723812118</v>
      </c>
      <c r="G41" s="487">
        <f t="shared" si="12"/>
        <v>168101.34475312987</v>
      </c>
      <c r="H41" s="456">
        <f t="shared" si="13"/>
        <v>168101.34475312987</v>
      </c>
      <c r="I41" s="476">
        <f t="shared" si="4"/>
        <v>0</v>
      </c>
      <c r="J41" s="476"/>
      <c r="K41" s="488"/>
      <c r="L41" s="479">
        <f t="shared" si="14"/>
        <v>0</v>
      </c>
      <c r="M41" s="488"/>
      <c r="N41" s="479">
        <f t="shared" si="5"/>
        <v>0</v>
      </c>
      <c r="O41" s="479">
        <f t="shared" si="6"/>
        <v>0</v>
      </c>
      <c r="P41" s="243"/>
    </row>
    <row r="42" spans="2:16" ht="12.5">
      <c r="B42" s="160" t="str">
        <f t="shared" si="3"/>
        <v/>
      </c>
      <c r="C42" s="473">
        <f>IF(D11="","-",+C41+1)</f>
        <v>2039</v>
      </c>
      <c r="D42" s="486">
        <f>IF(F41+SUM(E$17:E41)=D$10,F41,D$10-SUM(E$17:E41))</f>
        <v>980810.69723812118</v>
      </c>
      <c r="E42" s="485">
        <f t="shared" si="10"/>
        <v>52247.176046511624</v>
      </c>
      <c r="F42" s="486">
        <f t="shared" si="11"/>
        <v>928563.52119160956</v>
      </c>
      <c r="G42" s="487">
        <f t="shared" si="12"/>
        <v>162089.97614970038</v>
      </c>
      <c r="H42" s="456">
        <f t="shared" si="13"/>
        <v>162089.97614970038</v>
      </c>
      <c r="I42" s="476">
        <f t="shared" si="4"/>
        <v>0</v>
      </c>
      <c r="J42" s="476"/>
      <c r="K42" s="488"/>
      <c r="L42" s="479">
        <f t="shared" si="14"/>
        <v>0</v>
      </c>
      <c r="M42" s="488"/>
      <c r="N42" s="479">
        <f t="shared" si="5"/>
        <v>0</v>
      </c>
      <c r="O42" s="479">
        <f t="shared" si="6"/>
        <v>0</v>
      </c>
      <c r="P42" s="243"/>
    </row>
    <row r="43" spans="2:16" ht="12.5">
      <c r="B43" s="160" t="str">
        <f t="shared" si="3"/>
        <v/>
      </c>
      <c r="C43" s="473">
        <f>IF(D11="","-",+C42+1)</f>
        <v>2040</v>
      </c>
      <c r="D43" s="486">
        <f>IF(F42+SUM(E$17:E42)=D$10,F42,D$10-SUM(E$17:E42))</f>
        <v>928563.52119160956</v>
      </c>
      <c r="E43" s="485">
        <f t="shared" si="10"/>
        <v>52247.176046511624</v>
      </c>
      <c r="F43" s="486">
        <f t="shared" si="11"/>
        <v>876316.34514509793</v>
      </c>
      <c r="G43" s="487">
        <f t="shared" si="12"/>
        <v>156078.60754627091</v>
      </c>
      <c r="H43" s="456">
        <f t="shared" si="13"/>
        <v>156078.60754627091</v>
      </c>
      <c r="I43" s="476">
        <f t="shared" si="4"/>
        <v>0</v>
      </c>
      <c r="J43" s="476"/>
      <c r="K43" s="488"/>
      <c r="L43" s="479">
        <f t="shared" si="14"/>
        <v>0</v>
      </c>
      <c r="M43" s="488"/>
      <c r="N43" s="479">
        <f t="shared" si="5"/>
        <v>0</v>
      </c>
      <c r="O43" s="479">
        <f t="shared" si="6"/>
        <v>0</v>
      </c>
      <c r="P43" s="243"/>
    </row>
    <row r="44" spans="2:16" ht="12.5">
      <c r="B44" s="160" t="str">
        <f t="shared" si="3"/>
        <v/>
      </c>
      <c r="C44" s="473">
        <f>IF(D11="","-",+C43+1)</f>
        <v>2041</v>
      </c>
      <c r="D44" s="486">
        <f>IF(F43+SUM(E$17:E43)=D$10,F43,D$10-SUM(E$17:E43))</f>
        <v>876316.34514509793</v>
      </c>
      <c r="E44" s="485">
        <f t="shared" si="10"/>
        <v>52247.176046511624</v>
      </c>
      <c r="F44" s="486">
        <f t="shared" si="11"/>
        <v>824069.16909858631</v>
      </c>
      <c r="G44" s="487">
        <f t="shared" si="12"/>
        <v>150067.23894284142</v>
      </c>
      <c r="H44" s="456">
        <f t="shared" si="13"/>
        <v>150067.23894284142</v>
      </c>
      <c r="I44" s="476">
        <f t="shared" si="4"/>
        <v>0</v>
      </c>
      <c r="J44" s="476"/>
      <c r="K44" s="488"/>
      <c r="L44" s="479">
        <f t="shared" si="14"/>
        <v>0</v>
      </c>
      <c r="M44" s="488"/>
      <c r="N44" s="479">
        <f t="shared" si="5"/>
        <v>0</v>
      </c>
      <c r="O44" s="479">
        <f t="shared" si="6"/>
        <v>0</v>
      </c>
      <c r="P44" s="243"/>
    </row>
    <row r="45" spans="2:16" ht="12.5">
      <c r="B45" s="160" t="str">
        <f t="shared" si="3"/>
        <v/>
      </c>
      <c r="C45" s="473">
        <f>IF(D11="","-",+C44+1)</f>
        <v>2042</v>
      </c>
      <c r="D45" s="486">
        <f>IF(F44+SUM(E$17:E44)=D$10,F44,D$10-SUM(E$17:E44))</f>
        <v>824069.16909858631</v>
      </c>
      <c r="E45" s="485">
        <f t="shared" si="10"/>
        <v>52247.176046511624</v>
      </c>
      <c r="F45" s="486">
        <f t="shared" si="11"/>
        <v>771821.99305207469</v>
      </c>
      <c r="G45" s="487">
        <f t="shared" si="12"/>
        <v>144055.87033941195</v>
      </c>
      <c r="H45" s="456">
        <f t="shared" si="13"/>
        <v>144055.87033941195</v>
      </c>
      <c r="I45" s="476">
        <f t="shared" si="4"/>
        <v>0</v>
      </c>
      <c r="J45" s="476"/>
      <c r="K45" s="488"/>
      <c r="L45" s="479">
        <f t="shared" si="14"/>
        <v>0</v>
      </c>
      <c r="M45" s="488"/>
      <c r="N45" s="479">
        <f t="shared" si="5"/>
        <v>0</v>
      </c>
      <c r="O45" s="479">
        <f t="shared" si="6"/>
        <v>0</v>
      </c>
      <c r="P45" s="243"/>
    </row>
    <row r="46" spans="2:16" ht="12.5">
      <c r="B46" s="160" t="str">
        <f t="shared" si="3"/>
        <v/>
      </c>
      <c r="C46" s="473">
        <f>IF(D11="","-",+C45+1)</f>
        <v>2043</v>
      </c>
      <c r="D46" s="486">
        <f>IF(F45+SUM(E$17:E45)=D$10,F45,D$10-SUM(E$17:E45))</f>
        <v>771821.99305207469</v>
      </c>
      <c r="E46" s="485">
        <f t="shared" si="10"/>
        <v>52247.176046511624</v>
      </c>
      <c r="F46" s="486">
        <f t="shared" si="11"/>
        <v>719574.81700556306</v>
      </c>
      <c r="G46" s="487">
        <f t="shared" si="12"/>
        <v>138044.50173598249</v>
      </c>
      <c r="H46" s="456">
        <f t="shared" si="13"/>
        <v>138044.50173598249</v>
      </c>
      <c r="I46" s="476">
        <f t="shared" si="4"/>
        <v>0</v>
      </c>
      <c r="J46" s="476"/>
      <c r="K46" s="488"/>
      <c r="L46" s="479">
        <f t="shared" si="14"/>
        <v>0</v>
      </c>
      <c r="M46" s="488"/>
      <c r="N46" s="479">
        <f t="shared" si="5"/>
        <v>0</v>
      </c>
      <c r="O46" s="479">
        <f t="shared" si="6"/>
        <v>0</v>
      </c>
      <c r="P46" s="243"/>
    </row>
    <row r="47" spans="2:16" ht="12.5">
      <c r="B47" s="160" t="str">
        <f t="shared" si="3"/>
        <v/>
      </c>
      <c r="C47" s="473">
        <f>IF(D11="","-",+C46+1)</f>
        <v>2044</v>
      </c>
      <c r="D47" s="486">
        <f>IF(F46+SUM(E$17:E46)=D$10,F46,D$10-SUM(E$17:E46))</f>
        <v>719574.81700556306</v>
      </c>
      <c r="E47" s="485">
        <f t="shared" si="10"/>
        <v>52247.176046511624</v>
      </c>
      <c r="F47" s="486">
        <f t="shared" si="11"/>
        <v>667327.64095905144</v>
      </c>
      <c r="G47" s="487">
        <f t="shared" si="12"/>
        <v>132033.13313255302</v>
      </c>
      <c r="H47" s="456">
        <f t="shared" si="13"/>
        <v>132033.13313255302</v>
      </c>
      <c r="I47" s="476">
        <f t="shared" si="4"/>
        <v>0</v>
      </c>
      <c r="J47" s="476"/>
      <c r="K47" s="488"/>
      <c r="L47" s="479">
        <f t="shared" si="14"/>
        <v>0</v>
      </c>
      <c r="M47" s="488"/>
      <c r="N47" s="479">
        <f t="shared" si="5"/>
        <v>0</v>
      </c>
      <c r="O47" s="479">
        <f t="shared" si="6"/>
        <v>0</v>
      </c>
      <c r="P47" s="243"/>
    </row>
    <row r="48" spans="2:16" ht="12.5">
      <c r="B48" s="160" t="str">
        <f t="shared" si="3"/>
        <v/>
      </c>
      <c r="C48" s="473">
        <f>IF(D11="","-",+C47+1)</f>
        <v>2045</v>
      </c>
      <c r="D48" s="486">
        <f>IF(F47+SUM(E$17:E47)=D$10,F47,D$10-SUM(E$17:E47))</f>
        <v>667327.64095905144</v>
      </c>
      <c r="E48" s="485">
        <f t="shared" si="10"/>
        <v>52247.176046511624</v>
      </c>
      <c r="F48" s="486">
        <f t="shared" si="11"/>
        <v>615080.46491253981</v>
      </c>
      <c r="G48" s="487">
        <f t="shared" si="12"/>
        <v>126021.76452912352</v>
      </c>
      <c r="H48" s="456">
        <f t="shared" si="13"/>
        <v>126021.76452912352</v>
      </c>
      <c r="I48" s="476">
        <f t="shared" si="4"/>
        <v>0</v>
      </c>
      <c r="J48" s="476"/>
      <c r="K48" s="488"/>
      <c r="L48" s="479">
        <f t="shared" si="14"/>
        <v>0</v>
      </c>
      <c r="M48" s="488"/>
      <c r="N48" s="479">
        <f t="shared" si="5"/>
        <v>0</v>
      </c>
      <c r="O48" s="479">
        <f t="shared" si="6"/>
        <v>0</v>
      </c>
      <c r="P48" s="243"/>
    </row>
    <row r="49" spans="2:16" ht="12.5">
      <c r="B49" s="160" t="str">
        <f t="shared" si="3"/>
        <v/>
      </c>
      <c r="C49" s="473">
        <f>IF(D11="","-",+C48+1)</f>
        <v>2046</v>
      </c>
      <c r="D49" s="486">
        <f>IF(F48+SUM(E$17:E48)=D$10,F48,D$10-SUM(E$17:E48))</f>
        <v>615080.46491253981</v>
      </c>
      <c r="E49" s="485">
        <f t="shared" si="10"/>
        <v>52247.176046511624</v>
      </c>
      <c r="F49" s="486">
        <f t="shared" si="11"/>
        <v>562833.28886602819</v>
      </c>
      <c r="G49" s="487">
        <f t="shared" si="12"/>
        <v>120010.39592569406</v>
      </c>
      <c r="H49" s="456">
        <f t="shared" si="13"/>
        <v>120010.39592569406</v>
      </c>
      <c r="I49" s="476">
        <f t="shared" si="4"/>
        <v>0</v>
      </c>
      <c r="J49" s="476"/>
      <c r="K49" s="488"/>
      <c r="L49" s="479">
        <f t="shared" si="14"/>
        <v>0</v>
      </c>
      <c r="M49" s="488"/>
      <c r="N49" s="479">
        <f t="shared" si="5"/>
        <v>0</v>
      </c>
      <c r="O49" s="479">
        <f t="shared" si="6"/>
        <v>0</v>
      </c>
      <c r="P49" s="243"/>
    </row>
    <row r="50" spans="2:16" ht="12.5">
      <c r="B50" s="160" t="str">
        <f t="shared" si="3"/>
        <v/>
      </c>
      <c r="C50" s="473">
        <f>IF(D11="","-",+C49+1)</f>
        <v>2047</v>
      </c>
      <c r="D50" s="486">
        <f>IF(F49+SUM(E$17:E49)=D$10,F49,D$10-SUM(E$17:E49))</f>
        <v>562833.28886602819</v>
      </c>
      <c r="E50" s="485">
        <f t="shared" si="10"/>
        <v>52247.176046511624</v>
      </c>
      <c r="F50" s="486">
        <f t="shared" si="11"/>
        <v>510586.11281951657</v>
      </c>
      <c r="G50" s="487">
        <f t="shared" si="12"/>
        <v>113999.02732226458</v>
      </c>
      <c r="H50" s="456">
        <f t="shared" si="13"/>
        <v>113999.02732226458</v>
      </c>
      <c r="I50" s="476">
        <f t="shared" si="4"/>
        <v>0</v>
      </c>
      <c r="J50" s="476"/>
      <c r="K50" s="488"/>
      <c r="L50" s="479">
        <f t="shared" si="14"/>
        <v>0</v>
      </c>
      <c r="M50" s="488"/>
      <c r="N50" s="479">
        <f t="shared" si="5"/>
        <v>0</v>
      </c>
      <c r="O50" s="479">
        <f t="shared" si="6"/>
        <v>0</v>
      </c>
      <c r="P50" s="243"/>
    </row>
    <row r="51" spans="2:16" ht="12.5">
      <c r="B51" s="160" t="str">
        <f t="shared" si="3"/>
        <v/>
      </c>
      <c r="C51" s="473">
        <f>IF(D11="","-",+C50+1)</f>
        <v>2048</v>
      </c>
      <c r="D51" s="486">
        <f>IF(F50+SUM(E$17:E50)=D$10,F50,D$10-SUM(E$17:E50))</f>
        <v>510586.11281951657</v>
      </c>
      <c r="E51" s="485">
        <f t="shared" si="10"/>
        <v>52247.176046511624</v>
      </c>
      <c r="F51" s="486">
        <f t="shared" si="11"/>
        <v>458338.93677300494</v>
      </c>
      <c r="G51" s="487">
        <f t="shared" si="12"/>
        <v>107987.6587188351</v>
      </c>
      <c r="H51" s="456">
        <f t="shared" si="13"/>
        <v>107987.6587188351</v>
      </c>
      <c r="I51" s="476">
        <f t="shared" si="4"/>
        <v>0</v>
      </c>
      <c r="J51" s="476"/>
      <c r="K51" s="488"/>
      <c r="L51" s="479">
        <f t="shared" si="14"/>
        <v>0</v>
      </c>
      <c r="M51" s="488"/>
      <c r="N51" s="479">
        <f t="shared" si="5"/>
        <v>0</v>
      </c>
      <c r="O51" s="479">
        <f t="shared" si="6"/>
        <v>0</v>
      </c>
      <c r="P51" s="243"/>
    </row>
    <row r="52" spans="2:16" ht="12.5">
      <c r="B52" s="160" t="str">
        <f t="shared" si="3"/>
        <v/>
      </c>
      <c r="C52" s="473">
        <f>IF(D11="","-",+C51+1)</f>
        <v>2049</v>
      </c>
      <c r="D52" s="486">
        <f>IF(F51+SUM(E$17:E51)=D$10,F51,D$10-SUM(E$17:E51))</f>
        <v>458338.93677300494</v>
      </c>
      <c r="E52" s="485">
        <f t="shared" si="10"/>
        <v>52247.176046511624</v>
      </c>
      <c r="F52" s="486">
        <f t="shared" si="11"/>
        <v>406091.76072649332</v>
      </c>
      <c r="G52" s="487">
        <f t="shared" si="12"/>
        <v>101976.29011540563</v>
      </c>
      <c r="H52" s="456">
        <f t="shared" si="13"/>
        <v>101976.29011540563</v>
      </c>
      <c r="I52" s="476">
        <f t="shared" si="4"/>
        <v>0</v>
      </c>
      <c r="J52" s="476"/>
      <c r="K52" s="488"/>
      <c r="L52" s="479">
        <f t="shared" si="14"/>
        <v>0</v>
      </c>
      <c r="M52" s="488"/>
      <c r="N52" s="479">
        <f t="shared" si="5"/>
        <v>0</v>
      </c>
      <c r="O52" s="479">
        <f t="shared" si="6"/>
        <v>0</v>
      </c>
      <c r="P52" s="243"/>
    </row>
    <row r="53" spans="2:16" ht="12.5">
      <c r="B53" s="160" t="str">
        <f t="shared" si="3"/>
        <v/>
      </c>
      <c r="C53" s="473">
        <f>IF(D11="","-",+C52+1)</f>
        <v>2050</v>
      </c>
      <c r="D53" s="486">
        <f>IF(F52+SUM(E$17:E52)=D$10,F52,D$10-SUM(E$17:E52))</f>
        <v>406091.76072649332</v>
      </c>
      <c r="E53" s="485">
        <f t="shared" si="10"/>
        <v>52247.176046511624</v>
      </c>
      <c r="F53" s="486">
        <f t="shared" si="11"/>
        <v>353844.58467998169</v>
      </c>
      <c r="G53" s="487">
        <f t="shared" si="12"/>
        <v>95964.921511976165</v>
      </c>
      <c r="H53" s="456">
        <f t="shared" si="13"/>
        <v>95964.921511976165</v>
      </c>
      <c r="I53" s="476">
        <f t="shared" si="4"/>
        <v>0</v>
      </c>
      <c r="J53" s="476"/>
      <c r="K53" s="488"/>
      <c r="L53" s="479">
        <f t="shared" si="14"/>
        <v>0</v>
      </c>
      <c r="M53" s="488"/>
      <c r="N53" s="479">
        <f t="shared" si="5"/>
        <v>0</v>
      </c>
      <c r="O53" s="479">
        <f t="shared" si="6"/>
        <v>0</v>
      </c>
      <c r="P53" s="243"/>
    </row>
    <row r="54" spans="2:16" ht="12.5">
      <c r="B54" s="160" t="str">
        <f t="shared" si="3"/>
        <v/>
      </c>
      <c r="C54" s="473">
        <f>IF(D11="","-",+C53+1)</f>
        <v>2051</v>
      </c>
      <c r="D54" s="486">
        <f>IF(F53+SUM(E$17:E53)=D$10,F53,D$10-SUM(E$17:E53))</f>
        <v>353844.58467998169</v>
      </c>
      <c r="E54" s="485">
        <f t="shared" si="10"/>
        <v>52247.176046511624</v>
      </c>
      <c r="F54" s="486">
        <f t="shared" si="11"/>
        <v>301597.40863347007</v>
      </c>
      <c r="G54" s="487">
        <f t="shared" si="12"/>
        <v>89953.55290854667</v>
      </c>
      <c r="H54" s="456">
        <f t="shared" si="13"/>
        <v>89953.55290854667</v>
      </c>
      <c r="I54" s="476">
        <f t="shared" si="4"/>
        <v>0</v>
      </c>
      <c r="J54" s="476"/>
      <c r="K54" s="488"/>
      <c r="L54" s="479">
        <f t="shared" si="14"/>
        <v>0</v>
      </c>
      <c r="M54" s="488"/>
      <c r="N54" s="479">
        <f t="shared" si="5"/>
        <v>0</v>
      </c>
      <c r="O54" s="479">
        <f t="shared" si="6"/>
        <v>0</v>
      </c>
      <c r="P54" s="243"/>
    </row>
    <row r="55" spans="2:16" ht="12.5">
      <c r="B55" s="160" t="str">
        <f t="shared" si="3"/>
        <v/>
      </c>
      <c r="C55" s="473">
        <f>IF(D11="","-",+C54+1)</f>
        <v>2052</v>
      </c>
      <c r="D55" s="486">
        <f>IF(F54+SUM(E$17:E54)=D$10,F54,D$10-SUM(E$17:E54))</f>
        <v>301597.40863347007</v>
      </c>
      <c r="E55" s="485">
        <f t="shared" si="10"/>
        <v>52247.176046511624</v>
      </c>
      <c r="F55" s="486">
        <f t="shared" si="11"/>
        <v>249350.23258695845</v>
      </c>
      <c r="G55" s="487">
        <f t="shared" si="12"/>
        <v>83942.184305117204</v>
      </c>
      <c r="H55" s="456">
        <f t="shared" si="13"/>
        <v>83942.184305117204</v>
      </c>
      <c r="I55" s="476">
        <f t="shared" si="4"/>
        <v>0</v>
      </c>
      <c r="J55" s="476"/>
      <c r="K55" s="488"/>
      <c r="L55" s="479">
        <f t="shared" si="14"/>
        <v>0</v>
      </c>
      <c r="M55" s="488"/>
      <c r="N55" s="479">
        <f t="shared" si="5"/>
        <v>0</v>
      </c>
      <c r="O55" s="479">
        <f t="shared" si="6"/>
        <v>0</v>
      </c>
      <c r="P55" s="243"/>
    </row>
    <row r="56" spans="2:16" ht="12.5">
      <c r="B56" s="160" t="str">
        <f t="shared" si="3"/>
        <v/>
      </c>
      <c r="C56" s="473">
        <f>IF(D11="","-",+C55+1)</f>
        <v>2053</v>
      </c>
      <c r="D56" s="486">
        <f>IF(F55+SUM(E$17:E55)=D$10,F55,D$10-SUM(E$17:E55))</f>
        <v>249350.23258695845</v>
      </c>
      <c r="E56" s="485">
        <f t="shared" si="10"/>
        <v>52247.176046511624</v>
      </c>
      <c r="F56" s="486">
        <f t="shared" si="11"/>
        <v>197103.05654044682</v>
      </c>
      <c r="G56" s="487">
        <f t="shared" si="12"/>
        <v>77930.815701687723</v>
      </c>
      <c r="H56" s="456">
        <f t="shared" si="13"/>
        <v>77930.815701687723</v>
      </c>
      <c r="I56" s="476">
        <f t="shared" si="4"/>
        <v>0</v>
      </c>
      <c r="J56" s="476"/>
      <c r="K56" s="488"/>
      <c r="L56" s="479">
        <f t="shared" si="14"/>
        <v>0</v>
      </c>
      <c r="M56" s="488"/>
      <c r="N56" s="479">
        <f t="shared" si="5"/>
        <v>0</v>
      </c>
      <c r="O56" s="479">
        <f t="shared" si="6"/>
        <v>0</v>
      </c>
      <c r="P56" s="243"/>
    </row>
    <row r="57" spans="2:16" ht="12.5">
      <c r="B57" s="160" t="str">
        <f t="shared" si="3"/>
        <v/>
      </c>
      <c r="C57" s="473">
        <f>IF(D11="","-",+C56+1)</f>
        <v>2054</v>
      </c>
      <c r="D57" s="486">
        <f>IF(F56+SUM(E$17:E56)=D$10,F56,D$10-SUM(E$17:E56))</f>
        <v>197103.05654044682</v>
      </c>
      <c r="E57" s="485">
        <f t="shared" si="10"/>
        <v>52247.176046511624</v>
      </c>
      <c r="F57" s="486">
        <f t="shared" si="11"/>
        <v>144855.8804939352</v>
      </c>
      <c r="G57" s="487">
        <f t="shared" si="12"/>
        <v>71919.447098258257</v>
      </c>
      <c r="H57" s="456">
        <f t="shared" si="13"/>
        <v>71919.447098258257</v>
      </c>
      <c r="I57" s="476">
        <f t="shared" si="4"/>
        <v>0</v>
      </c>
      <c r="J57" s="476"/>
      <c r="K57" s="488"/>
      <c r="L57" s="479">
        <f t="shared" si="14"/>
        <v>0</v>
      </c>
      <c r="M57" s="488"/>
      <c r="N57" s="479">
        <f t="shared" si="5"/>
        <v>0</v>
      </c>
      <c r="O57" s="479">
        <f t="shared" si="6"/>
        <v>0</v>
      </c>
      <c r="P57" s="243"/>
    </row>
    <row r="58" spans="2:16" ht="12.5">
      <c r="B58" s="160" t="str">
        <f t="shared" si="3"/>
        <v/>
      </c>
      <c r="C58" s="473">
        <f>IF(D11="","-",+C57+1)</f>
        <v>2055</v>
      </c>
      <c r="D58" s="486">
        <f>IF(F57+SUM(E$17:E57)=D$10,F57,D$10-SUM(E$17:E57))</f>
        <v>144855.8804939352</v>
      </c>
      <c r="E58" s="485">
        <f t="shared" si="10"/>
        <v>52247.176046511624</v>
      </c>
      <c r="F58" s="486">
        <f t="shared" si="11"/>
        <v>92608.704447423574</v>
      </c>
      <c r="G58" s="487">
        <f t="shared" si="12"/>
        <v>65908.078494828776</v>
      </c>
      <c r="H58" s="456">
        <f t="shared" si="13"/>
        <v>65908.078494828776</v>
      </c>
      <c r="I58" s="476">
        <f t="shared" si="4"/>
        <v>0</v>
      </c>
      <c r="J58" s="476"/>
      <c r="K58" s="488"/>
      <c r="L58" s="479">
        <f t="shared" si="14"/>
        <v>0</v>
      </c>
      <c r="M58" s="488"/>
      <c r="N58" s="479">
        <f t="shared" si="5"/>
        <v>0</v>
      </c>
      <c r="O58" s="479">
        <f t="shared" si="6"/>
        <v>0</v>
      </c>
      <c r="P58" s="243"/>
    </row>
    <row r="59" spans="2:16" ht="12.5">
      <c r="B59" s="160" t="str">
        <f t="shared" si="3"/>
        <v/>
      </c>
      <c r="C59" s="473">
        <f>IF(D11="","-",+C58+1)</f>
        <v>2056</v>
      </c>
      <c r="D59" s="486">
        <f>IF(F58+SUM(E$17:E58)=D$10,F58,D$10-SUM(E$17:E58))</f>
        <v>92608.704447423574</v>
      </c>
      <c r="E59" s="485">
        <f t="shared" si="10"/>
        <v>52247.176046511624</v>
      </c>
      <c r="F59" s="486">
        <f t="shared" si="11"/>
        <v>40361.52840091195</v>
      </c>
      <c r="G59" s="487">
        <f t="shared" si="12"/>
        <v>59896.709891399303</v>
      </c>
      <c r="H59" s="456">
        <f t="shared" si="13"/>
        <v>59896.709891399303</v>
      </c>
      <c r="I59" s="476">
        <f t="shared" si="4"/>
        <v>0</v>
      </c>
      <c r="J59" s="476"/>
      <c r="K59" s="488"/>
      <c r="L59" s="479">
        <f t="shared" si="14"/>
        <v>0</v>
      </c>
      <c r="M59" s="488"/>
      <c r="N59" s="479">
        <f t="shared" si="5"/>
        <v>0</v>
      </c>
      <c r="O59" s="479">
        <f t="shared" si="6"/>
        <v>0</v>
      </c>
      <c r="P59" s="243"/>
    </row>
    <row r="60" spans="2:16" ht="12.5">
      <c r="B60" s="160" t="str">
        <f t="shared" si="3"/>
        <v/>
      </c>
      <c r="C60" s="473">
        <f>IF(D11="","-",+C59+1)</f>
        <v>2057</v>
      </c>
      <c r="D60" s="486">
        <f>IF(F59+SUM(E$17:E59)=D$10,F59,D$10-SUM(E$17:E59))</f>
        <v>40361.52840091195</v>
      </c>
      <c r="E60" s="485">
        <f t="shared" si="10"/>
        <v>40361.52840091195</v>
      </c>
      <c r="F60" s="486">
        <f t="shared" si="11"/>
        <v>0</v>
      </c>
      <c r="G60" s="487">
        <f t="shared" si="12"/>
        <v>42683.453172498419</v>
      </c>
      <c r="H60" s="456">
        <f t="shared" si="13"/>
        <v>42683.453172498419</v>
      </c>
      <c r="I60" s="476">
        <f t="shared" si="4"/>
        <v>0</v>
      </c>
      <c r="J60" s="476"/>
      <c r="K60" s="488"/>
      <c r="L60" s="479">
        <f t="shared" si="14"/>
        <v>0</v>
      </c>
      <c r="M60" s="488"/>
      <c r="N60" s="479">
        <f t="shared" si="5"/>
        <v>0</v>
      </c>
      <c r="O60" s="479">
        <f t="shared" si="6"/>
        <v>0</v>
      </c>
      <c r="P60" s="243"/>
    </row>
    <row r="61" spans="2:16" ht="12.5">
      <c r="B61" s="160" t="str">
        <f t="shared" si="3"/>
        <v/>
      </c>
      <c r="C61" s="473">
        <f>IF(D11="","-",+C60+1)</f>
        <v>2058</v>
      </c>
      <c r="D61" s="486">
        <f>IF(F60+SUM(E$17:E60)=D$10,F60,D$10-SUM(E$17:E60))</f>
        <v>0</v>
      </c>
      <c r="E61" s="485">
        <f t="shared" si="10"/>
        <v>0</v>
      </c>
      <c r="F61" s="486">
        <f t="shared" si="11"/>
        <v>0</v>
      </c>
      <c r="G61" s="487">
        <f t="shared" si="12"/>
        <v>0</v>
      </c>
      <c r="H61" s="456">
        <f t="shared" si="13"/>
        <v>0</v>
      </c>
      <c r="I61" s="476">
        <f t="shared" si="4"/>
        <v>0</v>
      </c>
      <c r="J61" s="476"/>
      <c r="K61" s="488"/>
      <c r="L61" s="479">
        <f t="shared" si="14"/>
        <v>0</v>
      </c>
      <c r="M61" s="488"/>
      <c r="N61" s="479">
        <f t="shared" si="5"/>
        <v>0</v>
      </c>
      <c r="O61" s="479">
        <f t="shared" si="6"/>
        <v>0</v>
      </c>
      <c r="P61" s="243"/>
    </row>
    <row r="62" spans="2:16" ht="12.5">
      <c r="B62" s="160" t="str">
        <f t="shared" si="3"/>
        <v/>
      </c>
      <c r="C62" s="473">
        <f>IF(D11="","-",+C61+1)</f>
        <v>2059</v>
      </c>
      <c r="D62" s="486">
        <f>IF(F61+SUM(E$17:E61)=D$10,F61,D$10-SUM(E$17:E61))</f>
        <v>0</v>
      </c>
      <c r="E62" s="485">
        <f t="shared" si="10"/>
        <v>0</v>
      </c>
      <c r="F62" s="486">
        <f t="shared" si="11"/>
        <v>0</v>
      </c>
      <c r="G62" s="487">
        <f t="shared" si="12"/>
        <v>0</v>
      </c>
      <c r="H62" s="456">
        <f t="shared" si="13"/>
        <v>0</v>
      </c>
      <c r="I62" s="476">
        <f t="shared" si="4"/>
        <v>0</v>
      </c>
      <c r="J62" s="476"/>
      <c r="K62" s="488"/>
      <c r="L62" s="479">
        <f t="shared" si="14"/>
        <v>0</v>
      </c>
      <c r="M62" s="488"/>
      <c r="N62" s="479">
        <f t="shared" si="5"/>
        <v>0</v>
      </c>
      <c r="O62" s="479">
        <f t="shared" si="6"/>
        <v>0</v>
      </c>
      <c r="P62" s="243"/>
    </row>
    <row r="63" spans="2:16" ht="12.5">
      <c r="B63" s="160" t="str">
        <f t="shared" si="3"/>
        <v/>
      </c>
      <c r="C63" s="473">
        <f>IF(D11="","-",+C62+1)</f>
        <v>2060</v>
      </c>
      <c r="D63" s="486">
        <f>IF(F62+SUM(E$17:E62)=D$10,F62,D$10-SUM(E$17:E62))</f>
        <v>0</v>
      </c>
      <c r="E63" s="485">
        <f t="shared" si="10"/>
        <v>0</v>
      </c>
      <c r="F63" s="486">
        <f t="shared" si="11"/>
        <v>0</v>
      </c>
      <c r="G63" s="487">
        <f t="shared" si="12"/>
        <v>0</v>
      </c>
      <c r="H63" s="456">
        <f t="shared" si="13"/>
        <v>0</v>
      </c>
      <c r="I63" s="476">
        <f t="shared" si="4"/>
        <v>0</v>
      </c>
      <c r="J63" s="476"/>
      <c r="K63" s="488"/>
      <c r="L63" s="479">
        <f t="shared" si="14"/>
        <v>0</v>
      </c>
      <c r="M63" s="488"/>
      <c r="N63" s="479">
        <f t="shared" si="5"/>
        <v>0</v>
      </c>
      <c r="O63" s="479">
        <f t="shared" si="6"/>
        <v>0</v>
      </c>
      <c r="P63" s="243"/>
    </row>
    <row r="64" spans="2:16" ht="12.5">
      <c r="B64" s="160" t="str">
        <f t="shared" si="3"/>
        <v/>
      </c>
      <c r="C64" s="473">
        <f>IF(D11="","-",+C63+1)</f>
        <v>2061</v>
      </c>
      <c r="D64" s="486">
        <f>IF(F63+SUM(E$17:E63)=D$10,F63,D$10-SUM(E$17:E63))</f>
        <v>0</v>
      </c>
      <c r="E64" s="485">
        <f t="shared" si="10"/>
        <v>0</v>
      </c>
      <c r="F64" s="486">
        <f t="shared" si="11"/>
        <v>0</v>
      </c>
      <c r="G64" s="487">
        <f t="shared" si="12"/>
        <v>0</v>
      </c>
      <c r="H64" s="456">
        <f t="shared" si="13"/>
        <v>0</v>
      </c>
      <c r="I64" s="476">
        <f t="shared" si="4"/>
        <v>0</v>
      </c>
      <c r="J64" s="476"/>
      <c r="K64" s="488"/>
      <c r="L64" s="479">
        <f t="shared" si="14"/>
        <v>0</v>
      </c>
      <c r="M64" s="488"/>
      <c r="N64" s="479">
        <f t="shared" si="5"/>
        <v>0</v>
      </c>
      <c r="O64" s="479">
        <f t="shared" si="6"/>
        <v>0</v>
      </c>
      <c r="P64" s="243"/>
    </row>
    <row r="65" spans="2:16" ht="12.5">
      <c r="B65" s="160" t="str">
        <f t="shared" si="3"/>
        <v/>
      </c>
      <c r="C65" s="473">
        <f>IF(D11="","-",+C64+1)</f>
        <v>2062</v>
      </c>
      <c r="D65" s="486">
        <f>IF(F64+SUM(E$17:E64)=D$10,F64,D$10-SUM(E$17:E64))</f>
        <v>0</v>
      </c>
      <c r="E65" s="485">
        <f t="shared" si="10"/>
        <v>0</v>
      </c>
      <c r="F65" s="486">
        <f t="shared" si="11"/>
        <v>0</v>
      </c>
      <c r="G65" s="487">
        <f t="shared" si="12"/>
        <v>0</v>
      </c>
      <c r="H65" s="456">
        <f t="shared" si="13"/>
        <v>0</v>
      </c>
      <c r="I65" s="476">
        <f t="shared" si="4"/>
        <v>0</v>
      </c>
      <c r="J65" s="476"/>
      <c r="K65" s="488"/>
      <c r="L65" s="479">
        <f t="shared" si="14"/>
        <v>0</v>
      </c>
      <c r="M65" s="488"/>
      <c r="N65" s="479">
        <f t="shared" si="5"/>
        <v>0</v>
      </c>
      <c r="O65" s="479">
        <f t="shared" si="6"/>
        <v>0</v>
      </c>
      <c r="P65" s="243"/>
    </row>
    <row r="66" spans="2:16" ht="12.5">
      <c r="B66" s="160" t="str">
        <f t="shared" si="3"/>
        <v/>
      </c>
      <c r="C66" s="473">
        <f>IF(D11="","-",+C65+1)</f>
        <v>2063</v>
      </c>
      <c r="D66" s="486">
        <f>IF(F65+SUM(E$17:E65)=D$10,F65,D$10-SUM(E$17:E65))</f>
        <v>0</v>
      </c>
      <c r="E66" s="485">
        <f t="shared" si="10"/>
        <v>0</v>
      </c>
      <c r="F66" s="486">
        <f t="shared" si="11"/>
        <v>0</v>
      </c>
      <c r="G66" s="487">
        <f t="shared" si="12"/>
        <v>0</v>
      </c>
      <c r="H66" s="456">
        <f t="shared" si="13"/>
        <v>0</v>
      </c>
      <c r="I66" s="476">
        <f t="shared" si="4"/>
        <v>0</v>
      </c>
      <c r="J66" s="476"/>
      <c r="K66" s="488"/>
      <c r="L66" s="479">
        <f t="shared" si="14"/>
        <v>0</v>
      </c>
      <c r="M66" s="488"/>
      <c r="N66" s="479">
        <f t="shared" si="5"/>
        <v>0</v>
      </c>
      <c r="O66" s="479">
        <f t="shared" si="6"/>
        <v>0</v>
      </c>
      <c r="P66" s="243"/>
    </row>
    <row r="67" spans="2:16" ht="12.5">
      <c r="B67" s="160" t="str">
        <f t="shared" si="3"/>
        <v/>
      </c>
      <c r="C67" s="473">
        <f>IF(D11="","-",+C66+1)</f>
        <v>2064</v>
      </c>
      <c r="D67" s="486">
        <f>IF(F66+SUM(E$17:E66)=D$10,F66,D$10-SUM(E$17:E66))</f>
        <v>0</v>
      </c>
      <c r="E67" s="485">
        <f t="shared" si="10"/>
        <v>0</v>
      </c>
      <c r="F67" s="486">
        <f t="shared" si="11"/>
        <v>0</v>
      </c>
      <c r="G67" s="487">
        <f t="shared" si="12"/>
        <v>0</v>
      </c>
      <c r="H67" s="456">
        <f t="shared" si="13"/>
        <v>0</v>
      </c>
      <c r="I67" s="476">
        <f t="shared" si="4"/>
        <v>0</v>
      </c>
      <c r="J67" s="476"/>
      <c r="K67" s="488"/>
      <c r="L67" s="479">
        <f t="shared" si="14"/>
        <v>0</v>
      </c>
      <c r="M67" s="488"/>
      <c r="N67" s="479">
        <f t="shared" si="5"/>
        <v>0</v>
      </c>
      <c r="O67" s="479">
        <f t="shared" si="6"/>
        <v>0</v>
      </c>
      <c r="P67" s="243"/>
    </row>
    <row r="68" spans="2:16" ht="12.5">
      <c r="B68" s="160" t="str">
        <f t="shared" si="3"/>
        <v/>
      </c>
      <c r="C68" s="473">
        <f>IF(D11="","-",+C67+1)</f>
        <v>2065</v>
      </c>
      <c r="D68" s="486">
        <f>IF(F67+SUM(E$17:E67)=D$10,F67,D$10-SUM(E$17:E67))</f>
        <v>0</v>
      </c>
      <c r="E68" s="485">
        <f t="shared" si="10"/>
        <v>0</v>
      </c>
      <c r="F68" s="486">
        <f t="shared" si="11"/>
        <v>0</v>
      </c>
      <c r="G68" s="487">
        <f t="shared" si="12"/>
        <v>0</v>
      </c>
      <c r="H68" s="456">
        <f t="shared" si="13"/>
        <v>0</v>
      </c>
      <c r="I68" s="476">
        <f t="shared" si="4"/>
        <v>0</v>
      </c>
      <c r="J68" s="476"/>
      <c r="K68" s="488"/>
      <c r="L68" s="479">
        <f t="shared" si="14"/>
        <v>0</v>
      </c>
      <c r="M68" s="488"/>
      <c r="N68" s="479">
        <f t="shared" si="5"/>
        <v>0</v>
      </c>
      <c r="O68" s="479">
        <f t="shared" si="6"/>
        <v>0</v>
      </c>
      <c r="P68" s="243"/>
    </row>
    <row r="69" spans="2:16" ht="12.5">
      <c r="B69" s="160" t="str">
        <f t="shared" si="3"/>
        <v/>
      </c>
      <c r="C69" s="473">
        <f>IF(D11="","-",+C68+1)</f>
        <v>2066</v>
      </c>
      <c r="D69" s="486">
        <f>IF(F68+SUM(E$17:E68)=D$10,F68,D$10-SUM(E$17:E68))</f>
        <v>0</v>
      </c>
      <c r="E69" s="485">
        <f t="shared" si="10"/>
        <v>0</v>
      </c>
      <c r="F69" s="486">
        <f t="shared" si="11"/>
        <v>0</v>
      </c>
      <c r="G69" s="487">
        <f t="shared" si="12"/>
        <v>0</v>
      </c>
      <c r="H69" s="456">
        <f t="shared" si="13"/>
        <v>0</v>
      </c>
      <c r="I69" s="476">
        <f t="shared" si="4"/>
        <v>0</v>
      </c>
      <c r="J69" s="476"/>
      <c r="K69" s="488"/>
      <c r="L69" s="479">
        <f t="shared" si="14"/>
        <v>0</v>
      </c>
      <c r="M69" s="488"/>
      <c r="N69" s="479">
        <f t="shared" si="5"/>
        <v>0</v>
      </c>
      <c r="O69" s="479">
        <f t="shared" si="6"/>
        <v>0</v>
      </c>
      <c r="P69" s="243"/>
    </row>
    <row r="70" spans="2:16" ht="12.5">
      <c r="B70" s="160" t="str">
        <f t="shared" si="3"/>
        <v/>
      </c>
      <c r="C70" s="473">
        <f>IF(D11="","-",+C69+1)</f>
        <v>2067</v>
      </c>
      <c r="D70" s="486">
        <f>IF(F69+SUM(E$17:E69)=D$10,F69,D$10-SUM(E$17:E69))</f>
        <v>0</v>
      </c>
      <c r="E70" s="485">
        <f t="shared" si="10"/>
        <v>0</v>
      </c>
      <c r="F70" s="486">
        <f t="shared" si="11"/>
        <v>0</v>
      </c>
      <c r="G70" s="487">
        <f t="shared" si="12"/>
        <v>0</v>
      </c>
      <c r="H70" s="456">
        <f t="shared" si="13"/>
        <v>0</v>
      </c>
      <c r="I70" s="476">
        <f t="shared" si="4"/>
        <v>0</v>
      </c>
      <c r="J70" s="476"/>
      <c r="K70" s="488"/>
      <c r="L70" s="479">
        <f t="shared" si="14"/>
        <v>0</v>
      </c>
      <c r="M70" s="488"/>
      <c r="N70" s="479">
        <f t="shared" si="5"/>
        <v>0</v>
      </c>
      <c r="O70" s="479">
        <f t="shared" si="6"/>
        <v>0</v>
      </c>
      <c r="P70" s="243"/>
    </row>
    <row r="71" spans="2:16" ht="12.5">
      <c r="B71" s="160" t="str">
        <f t="shared" si="3"/>
        <v/>
      </c>
      <c r="C71" s="473">
        <f>IF(D11="","-",+C70+1)</f>
        <v>2068</v>
      </c>
      <c r="D71" s="486">
        <f>IF(F70+SUM(E$17:E70)=D$10,F70,D$10-SUM(E$17:E70))</f>
        <v>0</v>
      </c>
      <c r="E71" s="485">
        <f t="shared" si="10"/>
        <v>0</v>
      </c>
      <c r="F71" s="486">
        <f t="shared" si="11"/>
        <v>0</v>
      </c>
      <c r="G71" s="487">
        <f t="shared" si="12"/>
        <v>0</v>
      </c>
      <c r="H71" s="456">
        <f t="shared" si="13"/>
        <v>0</v>
      </c>
      <c r="I71" s="476">
        <f t="shared" si="4"/>
        <v>0</v>
      </c>
      <c r="J71" s="476"/>
      <c r="K71" s="488"/>
      <c r="L71" s="479">
        <f t="shared" si="14"/>
        <v>0</v>
      </c>
      <c r="M71" s="488"/>
      <c r="N71" s="479">
        <f t="shared" si="5"/>
        <v>0</v>
      </c>
      <c r="O71" s="479">
        <f t="shared" si="6"/>
        <v>0</v>
      </c>
      <c r="P71" s="243"/>
    </row>
    <row r="72" spans="2:16" ht="13" thickBot="1">
      <c r="B72" s="160" t="str">
        <f t="shared" si="3"/>
        <v/>
      </c>
      <c r="C72" s="490">
        <f>IF(D11="","-",+C71+1)</f>
        <v>2069</v>
      </c>
      <c r="D72" s="491">
        <f>IF(F71+SUM(E$17:E71)=D$10,F71,D$10-SUM(E$17:E71))</f>
        <v>0</v>
      </c>
      <c r="E72" s="492">
        <f t="shared" si="10"/>
        <v>0</v>
      </c>
      <c r="F72" s="491">
        <f t="shared" si="11"/>
        <v>0</v>
      </c>
      <c r="G72" s="491">
        <f t="shared" si="12"/>
        <v>0</v>
      </c>
      <c r="H72" s="491">
        <f t="shared" si="13"/>
        <v>0</v>
      </c>
      <c r="I72" s="496">
        <f t="shared" si="4"/>
        <v>0</v>
      </c>
      <c r="J72" s="491"/>
      <c r="K72" s="495"/>
      <c r="L72" s="496">
        <f t="shared" si="14"/>
        <v>0</v>
      </c>
      <c r="M72" s="495"/>
      <c r="N72" s="496">
        <f t="shared" si="5"/>
        <v>0</v>
      </c>
      <c r="O72" s="496">
        <f t="shared" si="6"/>
        <v>0</v>
      </c>
      <c r="P72" s="243"/>
    </row>
    <row r="73" spans="2:16" ht="12.5">
      <c r="C73" s="347" t="s">
        <v>77</v>
      </c>
      <c r="D73" s="348"/>
      <c r="E73" s="348">
        <f>SUM(E17:E72)</f>
        <v>2246628.5699999998</v>
      </c>
      <c r="F73" s="348"/>
      <c r="G73" s="348">
        <f>SUM(G17:G72)</f>
        <v>8221930.7982176729</v>
      </c>
      <c r="H73" s="348">
        <f>SUM(H17:H72)</f>
        <v>8221930.7982176729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15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263885.04985844565</v>
      </c>
      <c r="N87" s="509">
        <f>IF(J92&lt;D11,0,VLOOKUP(J92,C17:O72,11))</f>
        <v>263885.04985844565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275528.74296443292</v>
      </c>
      <c r="N88" s="513">
        <f>IF(J92&lt;D11,0,VLOOKUP(J92,C99:P154,7))</f>
        <v>275528.74296443292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Locust Grove to Lone Star 115 kV Rebuild 2.1 miles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11643.693105987273</v>
      </c>
      <c r="N89" s="518">
        <f>+N88-N87</f>
        <v>11643.693105987273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TP2009093</v>
      </c>
      <c r="E91" s="523" t="str">
        <f>E9</f>
        <v xml:space="preserve">  SPP Project ID = 649</v>
      </c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+D10</f>
        <v>2246628.5699999998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605" t="s">
        <v>272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+D12</f>
        <v>2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52247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 t="str">
        <f>IF(D93= "","-",D93)</f>
        <v>2014</v>
      </c>
      <c r="D99" s="585">
        <v>0</v>
      </c>
      <c r="E99" s="586">
        <v>36003.333333333336</v>
      </c>
      <c r="F99" s="587">
        <v>2210625.2366666663</v>
      </c>
      <c r="G99" s="606">
        <v>1105312.6183333332</v>
      </c>
      <c r="H99" s="607">
        <v>191405.76922123961</v>
      </c>
      <c r="I99" s="608">
        <v>191405.76922123961</v>
      </c>
      <c r="J99" s="479">
        <v>0</v>
      </c>
      <c r="K99" s="479"/>
      <c r="L99" s="477">
        <f t="shared" ref="L99:L104" si="15">H99</f>
        <v>191405.76922123961</v>
      </c>
      <c r="M99" s="349">
        <f t="shared" ref="M99:M104" si="16">IF(L99&lt;&gt;0,+H99-L99,0)</f>
        <v>0</v>
      </c>
      <c r="N99" s="477">
        <f t="shared" ref="N99:N104" si="17">I99</f>
        <v>191405.76922123961</v>
      </c>
      <c r="O99" s="476">
        <f>IF(N99&lt;&gt;0,+I99-N99,0)</f>
        <v>0</v>
      </c>
      <c r="P99" s="479">
        <f>+O99-M99</f>
        <v>0</v>
      </c>
    </row>
    <row r="100" spans="1:16" ht="12.5">
      <c r="B100" s="160" t="str">
        <f>IF(D100=F99,"","IU")</f>
        <v/>
      </c>
      <c r="C100" s="473">
        <f>IF(D93="","-",+C99+1)</f>
        <v>2015</v>
      </c>
      <c r="D100" s="585">
        <v>2210625.2366666663</v>
      </c>
      <c r="E100" s="586">
        <v>43204</v>
      </c>
      <c r="F100" s="587">
        <v>2167421.2366666663</v>
      </c>
      <c r="G100" s="587">
        <v>2189023.2366666663</v>
      </c>
      <c r="H100" s="607">
        <v>341878.62002899748</v>
      </c>
      <c r="I100" s="608">
        <v>341878.62002899748</v>
      </c>
      <c r="J100" s="479">
        <f>+I100-H100</f>
        <v>0</v>
      </c>
      <c r="K100" s="479"/>
      <c r="L100" s="477">
        <f t="shared" si="15"/>
        <v>341878.62002899748</v>
      </c>
      <c r="M100" s="349">
        <f t="shared" si="16"/>
        <v>0</v>
      </c>
      <c r="N100" s="477">
        <f t="shared" si="17"/>
        <v>341878.62002899748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8">IF(D101=F100,"","IU")</f>
        <v/>
      </c>
      <c r="C101" s="473">
        <f>IF(D93="","-",+C100+1)</f>
        <v>2016</v>
      </c>
      <c r="D101" s="585">
        <v>2167421.2366666663</v>
      </c>
      <c r="E101" s="586">
        <v>48840</v>
      </c>
      <c r="F101" s="587">
        <v>2118581.2366666663</v>
      </c>
      <c r="G101" s="587">
        <v>2143001.2366666663</v>
      </c>
      <c r="H101" s="607">
        <v>325106.60926354182</v>
      </c>
      <c r="I101" s="608">
        <v>325106.60926354182</v>
      </c>
      <c r="J101" s="479">
        <f t="shared" ref="J101:J154" si="19">+I101-H101</f>
        <v>0</v>
      </c>
      <c r="K101" s="479"/>
      <c r="L101" s="477">
        <f t="shared" si="15"/>
        <v>325106.60926354182</v>
      </c>
      <c r="M101" s="349">
        <f t="shared" si="16"/>
        <v>0</v>
      </c>
      <c r="N101" s="477">
        <f t="shared" si="17"/>
        <v>325106.60926354182</v>
      </c>
      <c r="O101" s="476">
        <f>IF(N101&lt;&gt;0,+I101-N101,0)</f>
        <v>0</v>
      </c>
      <c r="P101" s="479">
        <f>+O101-M101</f>
        <v>0</v>
      </c>
    </row>
    <row r="102" spans="1:16" ht="12.5">
      <c r="B102" s="160" t="str">
        <f t="shared" si="18"/>
        <v/>
      </c>
      <c r="C102" s="473">
        <f>IF(D93="","-",+C101+1)</f>
        <v>2017</v>
      </c>
      <c r="D102" s="585">
        <v>2118581.2366666663</v>
      </c>
      <c r="E102" s="586">
        <v>48840</v>
      </c>
      <c r="F102" s="587">
        <v>2069741.2366666663</v>
      </c>
      <c r="G102" s="587">
        <v>2094161.2366666663</v>
      </c>
      <c r="H102" s="607">
        <v>314489.63330060086</v>
      </c>
      <c r="I102" s="608">
        <v>314489.63330060086</v>
      </c>
      <c r="J102" s="479">
        <f t="shared" si="19"/>
        <v>0</v>
      </c>
      <c r="K102" s="479"/>
      <c r="L102" s="477">
        <f t="shared" si="15"/>
        <v>314489.63330060086</v>
      </c>
      <c r="M102" s="349">
        <f t="shared" si="16"/>
        <v>0</v>
      </c>
      <c r="N102" s="477">
        <f t="shared" si="17"/>
        <v>314489.63330060086</v>
      </c>
      <c r="O102" s="476">
        <f>IF(N102&lt;&gt;0,+I102-N102,0)</f>
        <v>0</v>
      </c>
      <c r="P102" s="479">
        <f>+O102-M102</f>
        <v>0</v>
      </c>
    </row>
    <row r="103" spans="1:16" ht="12.5">
      <c r="B103" s="160" t="str">
        <f t="shared" si="18"/>
        <v/>
      </c>
      <c r="C103" s="473">
        <f>IF(D93="","-",+C102+1)</f>
        <v>2018</v>
      </c>
      <c r="D103" s="585">
        <v>2069741.2366666663</v>
      </c>
      <c r="E103" s="586">
        <v>52247</v>
      </c>
      <c r="F103" s="587">
        <v>2017494.2366666663</v>
      </c>
      <c r="G103" s="587">
        <v>2043617.7366666663</v>
      </c>
      <c r="H103" s="607">
        <v>262199.22655399318</v>
      </c>
      <c r="I103" s="608">
        <v>262199.22655399318</v>
      </c>
      <c r="J103" s="479">
        <f t="shared" si="19"/>
        <v>0</v>
      </c>
      <c r="K103" s="479"/>
      <c r="L103" s="477">
        <f t="shared" si="15"/>
        <v>262199.22655399318</v>
      </c>
      <c r="M103" s="349">
        <f t="shared" si="16"/>
        <v>0</v>
      </c>
      <c r="N103" s="477">
        <f t="shared" si="17"/>
        <v>262199.22655399318</v>
      </c>
      <c r="O103" s="476">
        <f>IF(N103&lt;&gt;0,+I103-N103,0)</f>
        <v>0</v>
      </c>
      <c r="P103" s="479">
        <f>+O103-M103</f>
        <v>0</v>
      </c>
    </row>
    <row r="104" spans="1:16" ht="12.5">
      <c r="B104" s="160" t="str">
        <f t="shared" si="18"/>
        <v/>
      </c>
      <c r="C104" s="473">
        <f>IF(D93="","-",+C103+1)</f>
        <v>2019</v>
      </c>
      <c r="D104" s="585">
        <v>2017494.2366666663</v>
      </c>
      <c r="E104" s="586">
        <v>54796</v>
      </c>
      <c r="F104" s="587">
        <v>1962698.2366666663</v>
      </c>
      <c r="G104" s="587">
        <v>1990096.2366666663</v>
      </c>
      <c r="H104" s="607">
        <v>260002.83525061089</v>
      </c>
      <c r="I104" s="608">
        <v>260002.83525061089</v>
      </c>
      <c r="J104" s="479">
        <f t="shared" si="19"/>
        <v>0</v>
      </c>
      <c r="K104" s="479"/>
      <c r="L104" s="477">
        <f t="shared" si="15"/>
        <v>260002.83525061089</v>
      </c>
      <c r="M104" s="349">
        <f t="shared" si="16"/>
        <v>0</v>
      </c>
      <c r="N104" s="477">
        <f t="shared" si="17"/>
        <v>260002.83525061089</v>
      </c>
      <c r="O104" s="479">
        <f t="shared" ref="O104:O130" si="20">IF(N104&lt;&gt;0,+I104-N104,0)</f>
        <v>0</v>
      </c>
      <c r="P104" s="479">
        <f t="shared" ref="P104:P130" si="21">+O104-M104</f>
        <v>0</v>
      </c>
    </row>
    <row r="105" spans="1:16" ht="12.5">
      <c r="B105" s="160" t="str">
        <f t="shared" si="18"/>
        <v/>
      </c>
      <c r="C105" s="473">
        <f>IF(D93="","-",+C104+1)</f>
        <v>2020</v>
      </c>
      <c r="D105" s="347">
        <f>IF(F104+SUM(E$99:E104)=D$92,F104,D$92-SUM(E$99:E104))</f>
        <v>1962698.2366666663</v>
      </c>
      <c r="E105" s="485">
        <f t="shared" ref="E105:E154" si="22">IF(+J$96&lt;F104,J$96,D105)</f>
        <v>52247</v>
      </c>
      <c r="F105" s="486">
        <f t="shared" ref="F105:F154" si="23">+D105-E105</f>
        <v>1910451.2366666663</v>
      </c>
      <c r="G105" s="486">
        <f t="shared" ref="G105:G154" si="24">+(F105+D105)/2</f>
        <v>1936574.7366666663</v>
      </c>
      <c r="H105" s="487">
        <f>(D105+F105)/2*J$94+E105</f>
        <v>275528.74296443292</v>
      </c>
      <c r="I105" s="543">
        <f t="shared" ref="I105:I154" si="25">+J$95*G105+E105</f>
        <v>275528.74296443292</v>
      </c>
      <c r="J105" s="479">
        <f t="shared" si="19"/>
        <v>0</v>
      </c>
      <c r="K105" s="479"/>
      <c r="L105" s="488"/>
      <c r="M105" s="479">
        <f t="shared" ref="M105:M130" si="26">IF(L105&lt;&gt;0,+H105-L105,0)</f>
        <v>0</v>
      </c>
      <c r="N105" s="488"/>
      <c r="O105" s="479">
        <f t="shared" si="20"/>
        <v>0</v>
      </c>
      <c r="P105" s="479">
        <f t="shared" si="21"/>
        <v>0</v>
      </c>
    </row>
    <row r="106" spans="1:16" ht="12.5">
      <c r="B106" s="160" t="str">
        <f t="shared" si="18"/>
        <v/>
      </c>
      <c r="C106" s="473">
        <f>IF(D93="","-",+C105+1)</f>
        <v>2021</v>
      </c>
      <c r="D106" s="347">
        <f>IF(F105+SUM(E$99:E105)=D$92,F105,D$92-SUM(E$99:E105))</f>
        <v>1910451.2366666663</v>
      </c>
      <c r="E106" s="485">
        <f t="shared" si="22"/>
        <v>52247</v>
      </c>
      <c r="F106" s="486">
        <f t="shared" si="23"/>
        <v>1858204.2366666663</v>
      </c>
      <c r="G106" s="486">
        <f t="shared" si="24"/>
        <v>1884327.7366666663</v>
      </c>
      <c r="H106" s="487">
        <f t="shared" ref="H106:H153" si="27">(D106+F106)/2*J$94+E106</f>
        <v>269504.80750571552</v>
      </c>
      <c r="I106" s="543">
        <f t="shared" ref="I106:I153" si="28">+J$95*G106+E106</f>
        <v>269504.80750571552</v>
      </c>
      <c r="J106" s="479">
        <f t="shared" si="19"/>
        <v>0</v>
      </c>
      <c r="K106" s="479"/>
      <c r="L106" s="488"/>
      <c r="M106" s="479">
        <f t="shared" si="26"/>
        <v>0</v>
      </c>
      <c r="N106" s="488"/>
      <c r="O106" s="479">
        <f t="shared" si="20"/>
        <v>0</v>
      </c>
      <c r="P106" s="479">
        <f t="shared" si="21"/>
        <v>0</v>
      </c>
    </row>
    <row r="107" spans="1:16" ht="12.5">
      <c r="B107" s="160" t="str">
        <f t="shared" si="18"/>
        <v/>
      </c>
      <c r="C107" s="473">
        <f>IF(D93="","-",+C106+1)</f>
        <v>2022</v>
      </c>
      <c r="D107" s="347">
        <f>IF(F106+SUM(E$99:E106)=D$92,F106,D$92-SUM(E$99:E106))</f>
        <v>1858204.2366666663</v>
      </c>
      <c r="E107" s="485">
        <f t="shared" si="22"/>
        <v>52247</v>
      </c>
      <c r="F107" s="486">
        <f t="shared" si="23"/>
        <v>1805957.2366666663</v>
      </c>
      <c r="G107" s="486">
        <f t="shared" si="24"/>
        <v>1832080.7366666663</v>
      </c>
      <c r="H107" s="487">
        <f t="shared" si="27"/>
        <v>263480.872046998</v>
      </c>
      <c r="I107" s="543">
        <f t="shared" si="28"/>
        <v>263480.872046998</v>
      </c>
      <c r="J107" s="479">
        <f t="shared" si="19"/>
        <v>0</v>
      </c>
      <c r="K107" s="479"/>
      <c r="L107" s="488"/>
      <c r="M107" s="479">
        <f t="shared" si="26"/>
        <v>0</v>
      </c>
      <c r="N107" s="488"/>
      <c r="O107" s="479">
        <f t="shared" si="20"/>
        <v>0</v>
      </c>
      <c r="P107" s="479">
        <f t="shared" si="21"/>
        <v>0</v>
      </c>
    </row>
    <row r="108" spans="1:16" ht="12.5">
      <c r="B108" s="160" t="str">
        <f t="shared" si="18"/>
        <v/>
      </c>
      <c r="C108" s="473">
        <f>IF(D93="","-",+C107+1)</f>
        <v>2023</v>
      </c>
      <c r="D108" s="347">
        <f>IF(F107+SUM(E$99:E107)=D$92,F107,D$92-SUM(E$99:E107))</f>
        <v>1805957.2366666663</v>
      </c>
      <c r="E108" s="485">
        <f t="shared" si="22"/>
        <v>52247</v>
      </c>
      <c r="F108" s="486">
        <f t="shared" si="23"/>
        <v>1753710.2366666663</v>
      </c>
      <c r="G108" s="486">
        <f t="shared" si="24"/>
        <v>1779833.7366666663</v>
      </c>
      <c r="H108" s="487">
        <f t="shared" si="27"/>
        <v>257456.9365882806</v>
      </c>
      <c r="I108" s="543">
        <f t="shared" si="28"/>
        <v>257456.9365882806</v>
      </c>
      <c r="J108" s="479">
        <f t="shared" si="19"/>
        <v>0</v>
      </c>
      <c r="K108" s="479"/>
      <c r="L108" s="488"/>
      <c r="M108" s="479">
        <f t="shared" si="26"/>
        <v>0</v>
      </c>
      <c r="N108" s="488"/>
      <c r="O108" s="479">
        <f t="shared" si="20"/>
        <v>0</v>
      </c>
      <c r="P108" s="479">
        <f t="shared" si="21"/>
        <v>0</v>
      </c>
    </row>
    <row r="109" spans="1:16" ht="12.5">
      <c r="B109" s="160" t="str">
        <f t="shared" si="18"/>
        <v/>
      </c>
      <c r="C109" s="473">
        <f>IF(D93="","-",+C108+1)</f>
        <v>2024</v>
      </c>
      <c r="D109" s="347">
        <f>IF(F108+SUM(E$99:E108)=D$92,F108,D$92-SUM(E$99:E108))</f>
        <v>1753710.2366666663</v>
      </c>
      <c r="E109" s="485">
        <f t="shared" si="22"/>
        <v>52247</v>
      </c>
      <c r="F109" s="486">
        <f t="shared" si="23"/>
        <v>1701463.2366666663</v>
      </c>
      <c r="G109" s="486">
        <f t="shared" si="24"/>
        <v>1727586.7366666663</v>
      </c>
      <c r="H109" s="487">
        <f t="shared" si="27"/>
        <v>251433.00112956317</v>
      </c>
      <c r="I109" s="543">
        <f t="shared" si="28"/>
        <v>251433.00112956317</v>
      </c>
      <c r="J109" s="479">
        <f t="shared" si="19"/>
        <v>0</v>
      </c>
      <c r="K109" s="479"/>
      <c r="L109" s="488"/>
      <c r="M109" s="479">
        <f t="shared" si="26"/>
        <v>0</v>
      </c>
      <c r="N109" s="488"/>
      <c r="O109" s="479">
        <f t="shared" si="20"/>
        <v>0</v>
      </c>
      <c r="P109" s="479">
        <f t="shared" si="21"/>
        <v>0</v>
      </c>
    </row>
    <row r="110" spans="1:16" ht="12.5">
      <c r="B110" s="160" t="str">
        <f t="shared" si="18"/>
        <v/>
      </c>
      <c r="C110" s="473">
        <f>IF(D93="","-",+C109+1)</f>
        <v>2025</v>
      </c>
      <c r="D110" s="347">
        <f>IF(F109+SUM(E$99:E109)=D$92,F109,D$92-SUM(E$99:E109))</f>
        <v>1701463.2366666663</v>
      </c>
      <c r="E110" s="485">
        <f t="shared" si="22"/>
        <v>52247</v>
      </c>
      <c r="F110" s="486">
        <f t="shared" si="23"/>
        <v>1649216.2366666663</v>
      </c>
      <c r="G110" s="486">
        <f t="shared" si="24"/>
        <v>1675339.7366666663</v>
      </c>
      <c r="H110" s="487">
        <f t="shared" si="27"/>
        <v>245409.06567084571</v>
      </c>
      <c r="I110" s="543">
        <f t="shared" si="28"/>
        <v>245409.06567084571</v>
      </c>
      <c r="J110" s="479">
        <f t="shared" si="19"/>
        <v>0</v>
      </c>
      <c r="K110" s="479"/>
      <c r="L110" s="488"/>
      <c r="M110" s="479">
        <f t="shared" si="26"/>
        <v>0</v>
      </c>
      <c r="N110" s="488"/>
      <c r="O110" s="479">
        <f t="shared" si="20"/>
        <v>0</v>
      </c>
      <c r="P110" s="479">
        <f t="shared" si="21"/>
        <v>0</v>
      </c>
    </row>
    <row r="111" spans="1:16" ht="12.5">
      <c r="B111" s="160" t="str">
        <f t="shared" si="18"/>
        <v/>
      </c>
      <c r="C111" s="473">
        <f>IF(D93="","-",+C110+1)</f>
        <v>2026</v>
      </c>
      <c r="D111" s="347">
        <f>IF(F110+SUM(E$99:E110)=D$92,F110,D$92-SUM(E$99:E110))</f>
        <v>1649216.2366666663</v>
      </c>
      <c r="E111" s="485">
        <f t="shared" si="22"/>
        <v>52247</v>
      </c>
      <c r="F111" s="486">
        <f t="shared" si="23"/>
        <v>1596969.2366666663</v>
      </c>
      <c r="G111" s="486">
        <f t="shared" si="24"/>
        <v>1623092.7366666663</v>
      </c>
      <c r="H111" s="487">
        <f t="shared" si="27"/>
        <v>239385.13021212828</v>
      </c>
      <c r="I111" s="543">
        <f t="shared" si="28"/>
        <v>239385.13021212828</v>
      </c>
      <c r="J111" s="479">
        <f t="shared" si="19"/>
        <v>0</v>
      </c>
      <c r="K111" s="479"/>
      <c r="L111" s="488"/>
      <c r="M111" s="479">
        <f t="shared" si="26"/>
        <v>0</v>
      </c>
      <c r="N111" s="488"/>
      <c r="O111" s="479">
        <f t="shared" si="20"/>
        <v>0</v>
      </c>
      <c r="P111" s="479">
        <f t="shared" si="21"/>
        <v>0</v>
      </c>
    </row>
    <row r="112" spans="1:16" ht="12.5">
      <c r="B112" s="160" t="str">
        <f t="shared" si="18"/>
        <v/>
      </c>
      <c r="C112" s="473">
        <f>IF(D93="","-",+C111+1)</f>
        <v>2027</v>
      </c>
      <c r="D112" s="347">
        <f>IF(F111+SUM(E$99:E111)=D$92,F111,D$92-SUM(E$99:E111))</f>
        <v>1596969.2366666663</v>
      </c>
      <c r="E112" s="485">
        <f t="shared" si="22"/>
        <v>52247</v>
      </c>
      <c r="F112" s="486">
        <f t="shared" si="23"/>
        <v>1544722.2366666663</v>
      </c>
      <c r="G112" s="486">
        <f t="shared" si="24"/>
        <v>1570845.7366666663</v>
      </c>
      <c r="H112" s="487">
        <f t="shared" si="27"/>
        <v>233361.19475341082</v>
      </c>
      <c r="I112" s="543">
        <f t="shared" si="28"/>
        <v>233361.19475341082</v>
      </c>
      <c r="J112" s="479">
        <f t="shared" si="19"/>
        <v>0</v>
      </c>
      <c r="K112" s="479"/>
      <c r="L112" s="488"/>
      <c r="M112" s="479">
        <f t="shared" si="26"/>
        <v>0</v>
      </c>
      <c r="N112" s="488"/>
      <c r="O112" s="479">
        <f t="shared" si="20"/>
        <v>0</v>
      </c>
      <c r="P112" s="479">
        <f t="shared" si="21"/>
        <v>0</v>
      </c>
    </row>
    <row r="113" spans="2:16" ht="12.5">
      <c r="B113" s="160" t="str">
        <f t="shared" si="18"/>
        <v/>
      </c>
      <c r="C113" s="473">
        <f>IF(D93="","-",+C112+1)</f>
        <v>2028</v>
      </c>
      <c r="D113" s="347">
        <f>IF(F112+SUM(E$99:E112)=D$92,F112,D$92-SUM(E$99:E112))</f>
        <v>1544722.2366666663</v>
      </c>
      <c r="E113" s="485">
        <f t="shared" si="22"/>
        <v>52247</v>
      </c>
      <c r="F113" s="486">
        <f t="shared" si="23"/>
        <v>1492475.2366666663</v>
      </c>
      <c r="G113" s="486">
        <f t="shared" si="24"/>
        <v>1518598.7366666663</v>
      </c>
      <c r="H113" s="487">
        <f t="shared" si="27"/>
        <v>227337.25929469339</v>
      </c>
      <c r="I113" s="543">
        <f t="shared" si="28"/>
        <v>227337.25929469339</v>
      </c>
      <c r="J113" s="479">
        <f t="shared" si="19"/>
        <v>0</v>
      </c>
      <c r="K113" s="479"/>
      <c r="L113" s="488"/>
      <c r="M113" s="479">
        <f t="shared" si="26"/>
        <v>0</v>
      </c>
      <c r="N113" s="488"/>
      <c r="O113" s="479">
        <f t="shared" si="20"/>
        <v>0</v>
      </c>
      <c r="P113" s="479">
        <f t="shared" si="21"/>
        <v>0</v>
      </c>
    </row>
    <row r="114" spans="2:16" ht="12.5">
      <c r="B114" s="160" t="str">
        <f t="shared" si="18"/>
        <v/>
      </c>
      <c r="C114" s="473">
        <f>IF(D93="","-",+C113+1)</f>
        <v>2029</v>
      </c>
      <c r="D114" s="347">
        <f>IF(F113+SUM(E$99:E113)=D$92,F113,D$92-SUM(E$99:E113))</f>
        <v>1492475.2366666663</v>
      </c>
      <c r="E114" s="485">
        <f t="shared" si="22"/>
        <v>52247</v>
      </c>
      <c r="F114" s="486">
        <f t="shared" si="23"/>
        <v>1440228.2366666663</v>
      </c>
      <c r="G114" s="486">
        <f t="shared" si="24"/>
        <v>1466351.7366666663</v>
      </c>
      <c r="H114" s="487">
        <f t="shared" si="27"/>
        <v>221313.32383597593</v>
      </c>
      <c r="I114" s="543">
        <f t="shared" si="28"/>
        <v>221313.32383597593</v>
      </c>
      <c r="J114" s="479">
        <f t="shared" si="19"/>
        <v>0</v>
      </c>
      <c r="K114" s="479"/>
      <c r="L114" s="488"/>
      <c r="M114" s="479">
        <f t="shared" si="26"/>
        <v>0</v>
      </c>
      <c r="N114" s="488"/>
      <c r="O114" s="479">
        <f t="shared" si="20"/>
        <v>0</v>
      </c>
      <c r="P114" s="479">
        <f t="shared" si="21"/>
        <v>0</v>
      </c>
    </row>
    <row r="115" spans="2:16" ht="12.5">
      <c r="B115" s="160" t="str">
        <f t="shared" si="18"/>
        <v/>
      </c>
      <c r="C115" s="473">
        <f>IF(D93="","-",+C114+1)</f>
        <v>2030</v>
      </c>
      <c r="D115" s="347">
        <f>IF(F114+SUM(E$99:E114)=D$92,F114,D$92-SUM(E$99:E114))</f>
        <v>1440228.2366666663</v>
      </c>
      <c r="E115" s="485">
        <f t="shared" si="22"/>
        <v>52247</v>
      </c>
      <c r="F115" s="486">
        <f t="shared" si="23"/>
        <v>1387981.2366666663</v>
      </c>
      <c r="G115" s="486">
        <f t="shared" si="24"/>
        <v>1414104.7366666663</v>
      </c>
      <c r="H115" s="487">
        <f t="shared" si="27"/>
        <v>215289.3883772585</v>
      </c>
      <c r="I115" s="543">
        <f t="shared" si="28"/>
        <v>215289.3883772585</v>
      </c>
      <c r="J115" s="479">
        <f t="shared" si="19"/>
        <v>0</v>
      </c>
      <c r="K115" s="479"/>
      <c r="L115" s="488"/>
      <c r="M115" s="479">
        <f t="shared" si="26"/>
        <v>0</v>
      </c>
      <c r="N115" s="488"/>
      <c r="O115" s="479">
        <f t="shared" si="20"/>
        <v>0</v>
      </c>
      <c r="P115" s="479">
        <f t="shared" si="21"/>
        <v>0</v>
      </c>
    </row>
    <row r="116" spans="2:16" ht="12.5">
      <c r="B116" s="160" t="str">
        <f t="shared" si="18"/>
        <v/>
      </c>
      <c r="C116" s="473">
        <f>IF(D93="","-",+C115+1)</f>
        <v>2031</v>
      </c>
      <c r="D116" s="347">
        <f>IF(F115+SUM(E$99:E115)=D$92,F115,D$92-SUM(E$99:E115))</f>
        <v>1387981.2366666663</v>
      </c>
      <c r="E116" s="485">
        <f t="shared" si="22"/>
        <v>52247</v>
      </c>
      <c r="F116" s="486">
        <f t="shared" si="23"/>
        <v>1335734.2366666663</v>
      </c>
      <c r="G116" s="486">
        <f t="shared" si="24"/>
        <v>1361857.7366666663</v>
      </c>
      <c r="H116" s="487">
        <f t="shared" si="27"/>
        <v>209265.45291854106</v>
      </c>
      <c r="I116" s="543">
        <f t="shared" si="28"/>
        <v>209265.45291854106</v>
      </c>
      <c r="J116" s="479">
        <f t="shared" si="19"/>
        <v>0</v>
      </c>
      <c r="K116" s="479"/>
      <c r="L116" s="488"/>
      <c r="M116" s="479">
        <f t="shared" si="26"/>
        <v>0</v>
      </c>
      <c r="N116" s="488"/>
      <c r="O116" s="479">
        <f t="shared" si="20"/>
        <v>0</v>
      </c>
      <c r="P116" s="479">
        <f t="shared" si="21"/>
        <v>0</v>
      </c>
    </row>
    <row r="117" spans="2:16" ht="12.5">
      <c r="B117" s="160" t="str">
        <f t="shared" si="18"/>
        <v/>
      </c>
      <c r="C117" s="473">
        <f>IF(D93="","-",+C116+1)</f>
        <v>2032</v>
      </c>
      <c r="D117" s="347">
        <f>IF(F116+SUM(E$99:E116)=D$92,F116,D$92-SUM(E$99:E116))</f>
        <v>1335734.2366666663</v>
      </c>
      <c r="E117" s="485">
        <f t="shared" si="22"/>
        <v>52247</v>
      </c>
      <c r="F117" s="486">
        <f t="shared" si="23"/>
        <v>1283487.2366666663</v>
      </c>
      <c r="G117" s="486">
        <f t="shared" si="24"/>
        <v>1309610.7366666663</v>
      </c>
      <c r="H117" s="487">
        <f t="shared" si="27"/>
        <v>203241.5174598236</v>
      </c>
      <c r="I117" s="543">
        <f t="shared" si="28"/>
        <v>203241.5174598236</v>
      </c>
      <c r="J117" s="479">
        <f t="shared" si="19"/>
        <v>0</v>
      </c>
      <c r="K117" s="479"/>
      <c r="L117" s="488"/>
      <c r="M117" s="479">
        <f t="shared" si="26"/>
        <v>0</v>
      </c>
      <c r="N117" s="488"/>
      <c r="O117" s="479">
        <f t="shared" si="20"/>
        <v>0</v>
      </c>
      <c r="P117" s="479">
        <f t="shared" si="21"/>
        <v>0</v>
      </c>
    </row>
    <row r="118" spans="2:16" ht="12.5">
      <c r="B118" s="160" t="str">
        <f t="shared" si="18"/>
        <v/>
      </c>
      <c r="C118" s="473">
        <f>IF(D93="","-",+C117+1)</f>
        <v>2033</v>
      </c>
      <c r="D118" s="347">
        <f>IF(F117+SUM(E$99:E117)=D$92,F117,D$92-SUM(E$99:E117))</f>
        <v>1283487.2366666663</v>
      </c>
      <c r="E118" s="485">
        <f t="shared" si="22"/>
        <v>52247</v>
      </c>
      <c r="F118" s="486">
        <f t="shared" si="23"/>
        <v>1231240.2366666663</v>
      </c>
      <c r="G118" s="486">
        <f t="shared" si="24"/>
        <v>1257363.7366666663</v>
      </c>
      <c r="H118" s="487">
        <f t="shared" si="27"/>
        <v>197217.58200110617</v>
      </c>
      <c r="I118" s="543">
        <f t="shared" si="28"/>
        <v>197217.58200110617</v>
      </c>
      <c r="J118" s="479">
        <f t="shared" si="19"/>
        <v>0</v>
      </c>
      <c r="K118" s="479"/>
      <c r="L118" s="488"/>
      <c r="M118" s="479">
        <f t="shared" si="26"/>
        <v>0</v>
      </c>
      <c r="N118" s="488"/>
      <c r="O118" s="479">
        <f t="shared" si="20"/>
        <v>0</v>
      </c>
      <c r="P118" s="479">
        <f t="shared" si="21"/>
        <v>0</v>
      </c>
    </row>
    <row r="119" spans="2:16" ht="12.5">
      <c r="B119" s="160" t="str">
        <f t="shared" si="18"/>
        <v/>
      </c>
      <c r="C119" s="473">
        <f>IF(D93="","-",+C118+1)</f>
        <v>2034</v>
      </c>
      <c r="D119" s="347">
        <f>IF(F118+SUM(E$99:E118)=D$92,F118,D$92-SUM(E$99:E118))</f>
        <v>1231240.2366666663</v>
      </c>
      <c r="E119" s="485">
        <f t="shared" si="22"/>
        <v>52247</v>
      </c>
      <c r="F119" s="486">
        <f t="shared" si="23"/>
        <v>1178993.2366666663</v>
      </c>
      <c r="G119" s="486">
        <f t="shared" si="24"/>
        <v>1205116.7366666663</v>
      </c>
      <c r="H119" s="487">
        <f t="shared" si="27"/>
        <v>191193.64654238871</v>
      </c>
      <c r="I119" s="543">
        <f t="shared" si="28"/>
        <v>191193.64654238871</v>
      </c>
      <c r="J119" s="479">
        <f t="shared" si="19"/>
        <v>0</v>
      </c>
      <c r="K119" s="479"/>
      <c r="L119" s="488"/>
      <c r="M119" s="479">
        <f t="shared" si="26"/>
        <v>0</v>
      </c>
      <c r="N119" s="488"/>
      <c r="O119" s="479">
        <f t="shared" si="20"/>
        <v>0</v>
      </c>
      <c r="P119" s="479">
        <f t="shared" si="21"/>
        <v>0</v>
      </c>
    </row>
    <row r="120" spans="2:16" ht="12.5">
      <c r="B120" s="160" t="str">
        <f t="shared" si="18"/>
        <v/>
      </c>
      <c r="C120" s="473">
        <f>IF(D93="","-",+C119+1)</f>
        <v>2035</v>
      </c>
      <c r="D120" s="347">
        <f>IF(F119+SUM(E$99:E119)=D$92,F119,D$92-SUM(E$99:E119))</f>
        <v>1178993.2366666663</v>
      </c>
      <c r="E120" s="485">
        <f t="shared" si="22"/>
        <v>52247</v>
      </c>
      <c r="F120" s="486">
        <f t="shared" si="23"/>
        <v>1126746.2366666663</v>
      </c>
      <c r="G120" s="486">
        <f t="shared" si="24"/>
        <v>1152869.7366666663</v>
      </c>
      <c r="H120" s="487">
        <f t="shared" si="27"/>
        <v>185169.71108367128</v>
      </c>
      <c r="I120" s="543">
        <f t="shared" si="28"/>
        <v>185169.71108367128</v>
      </c>
      <c r="J120" s="479">
        <f t="shared" si="19"/>
        <v>0</v>
      </c>
      <c r="K120" s="479"/>
      <c r="L120" s="488"/>
      <c r="M120" s="479">
        <f t="shared" si="26"/>
        <v>0</v>
      </c>
      <c r="N120" s="488"/>
      <c r="O120" s="479">
        <f t="shared" si="20"/>
        <v>0</v>
      </c>
      <c r="P120" s="479">
        <f t="shared" si="21"/>
        <v>0</v>
      </c>
    </row>
    <row r="121" spans="2:16" ht="12.5">
      <c r="B121" s="160" t="str">
        <f t="shared" si="18"/>
        <v/>
      </c>
      <c r="C121" s="473">
        <f>IF(D93="","-",+C120+1)</f>
        <v>2036</v>
      </c>
      <c r="D121" s="347">
        <f>IF(F120+SUM(E$99:E120)=D$92,F120,D$92-SUM(E$99:E120))</f>
        <v>1126746.2366666663</v>
      </c>
      <c r="E121" s="485">
        <f t="shared" si="22"/>
        <v>52247</v>
      </c>
      <c r="F121" s="486">
        <f t="shared" si="23"/>
        <v>1074499.2366666663</v>
      </c>
      <c r="G121" s="486">
        <f t="shared" si="24"/>
        <v>1100622.7366666663</v>
      </c>
      <c r="H121" s="487">
        <f t="shared" si="27"/>
        <v>179145.77562495385</v>
      </c>
      <c r="I121" s="543">
        <f t="shared" si="28"/>
        <v>179145.77562495385</v>
      </c>
      <c r="J121" s="479">
        <f t="shared" si="19"/>
        <v>0</v>
      </c>
      <c r="K121" s="479"/>
      <c r="L121" s="488"/>
      <c r="M121" s="479">
        <f t="shared" si="26"/>
        <v>0</v>
      </c>
      <c r="N121" s="488"/>
      <c r="O121" s="479">
        <f t="shared" si="20"/>
        <v>0</v>
      </c>
      <c r="P121" s="479">
        <f t="shared" si="21"/>
        <v>0</v>
      </c>
    </row>
    <row r="122" spans="2:16" ht="12.5">
      <c r="B122" s="160" t="str">
        <f t="shared" si="18"/>
        <v/>
      </c>
      <c r="C122" s="473">
        <f>IF(D93="","-",+C121+1)</f>
        <v>2037</v>
      </c>
      <c r="D122" s="347">
        <f>IF(F121+SUM(E$99:E121)=D$92,F121,D$92-SUM(E$99:E121))</f>
        <v>1074499.2366666663</v>
      </c>
      <c r="E122" s="485">
        <f t="shared" si="22"/>
        <v>52247</v>
      </c>
      <c r="F122" s="486">
        <f t="shared" si="23"/>
        <v>1022252.2366666663</v>
      </c>
      <c r="G122" s="486">
        <f t="shared" si="24"/>
        <v>1048375.7366666663</v>
      </c>
      <c r="H122" s="487">
        <f t="shared" si="27"/>
        <v>173121.84016623639</v>
      </c>
      <c r="I122" s="543">
        <f t="shared" si="28"/>
        <v>173121.84016623639</v>
      </c>
      <c r="J122" s="479">
        <f t="shared" si="19"/>
        <v>0</v>
      </c>
      <c r="K122" s="479"/>
      <c r="L122" s="488"/>
      <c r="M122" s="479">
        <f t="shared" si="26"/>
        <v>0</v>
      </c>
      <c r="N122" s="488"/>
      <c r="O122" s="479">
        <f t="shared" si="20"/>
        <v>0</v>
      </c>
      <c r="P122" s="479">
        <f t="shared" si="21"/>
        <v>0</v>
      </c>
    </row>
    <row r="123" spans="2:16" ht="12.5">
      <c r="B123" s="160" t="str">
        <f t="shared" si="18"/>
        <v/>
      </c>
      <c r="C123" s="473">
        <f>IF(D93="","-",+C122+1)</f>
        <v>2038</v>
      </c>
      <c r="D123" s="347">
        <f>IF(F122+SUM(E$99:E122)=D$92,F122,D$92-SUM(E$99:E122))</f>
        <v>1022252.2366666663</v>
      </c>
      <c r="E123" s="485">
        <f t="shared" si="22"/>
        <v>52247</v>
      </c>
      <c r="F123" s="486">
        <f t="shared" si="23"/>
        <v>970005.23666666634</v>
      </c>
      <c r="G123" s="486">
        <f t="shared" si="24"/>
        <v>996128.73666666634</v>
      </c>
      <c r="H123" s="487">
        <f t="shared" si="27"/>
        <v>167097.90470751893</v>
      </c>
      <c r="I123" s="543">
        <f t="shared" si="28"/>
        <v>167097.90470751893</v>
      </c>
      <c r="J123" s="479">
        <f t="shared" si="19"/>
        <v>0</v>
      </c>
      <c r="K123" s="479"/>
      <c r="L123" s="488"/>
      <c r="M123" s="479">
        <f t="shared" si="26"/>
        <v>0</v>
      </c>
      <c r="N123" s="488"/>
      <c r="O123" s="479">
        <f t="shared" si="20"/>
        <v>0</v>
      </c>
      <c r="P123" s="479">
        <f t="shared" si="21"/>
        <v>0</v>
      </c>
    </row>
    <row r="124" spans="2:16" ht="12.5">
      <c r="B124" s="160" t="str">
        <f t="shared" si="18"/>
        <v/>
      </c>
      <c r="C124" s="473">
        <f>IF(D93="","-",+C123+1)</f>
        <v>2039</v>
      </c>
      <c r="D124" s="347">
        <f>IF(F123+SUM(E$99:E123)=D$92,F123,D$92-SUM(E$99:E123))</f>
        <v>970005.23666666634</v>
      </c>
      <c r="E124" s="485">
        <f t="shared" si="22"/>
        <v>52247</v>
      </c>
      <c r="F124" s="486">
        <f t="shared" si="23"/>
        <v>917758.23666666634</v>
      </c>
      <c r="G124" s="486">
        <f t="shared" si="24"/>
        <v>943881.73666666634</v>
      </c>
      <c r="H124" s="487">
        <f t="shared" si="27"/>
        <v>161073.9692488015</v>
      </c>
      <c r="I124" s="543">
        <f t="shared" si="28"/>
        <v>161073.9692488015</v>
      </c>
      <c r="J124" s="479">
        <f t="shared" si="19"/>
        <v>0</v>
      </c>
      <c r="K124" s="479"/>
      <c r="L124" s="488"/>
      <c r="M124" s="479">
        <f t="shared" si="26"/>
        <v>0</v>
      </c>
      <c r="N124" s="488"/>
      <c r="O124" s="479">
        <f t="shared" si="20"/>
        <v>0</v>
      </c>
      <c r="P124" s="479">
        <f t="shared" si="21"/>
        <v>0</v>
      </c>
    </row>
    <row r="125" spans="2:16" ht="12.5">
      <c r="B125" s="160" t="str">
        <f t="shared" si="18"/>
        <v/>
      </c>
      <c r="C125" s="473">
        <f>IF(D93="","-",+C124+1)</f>
        <v>2040</v>
      </c>
      <c r="D125" s="347">
        <f>IF(F124+SUM(E$99:E124)=D$92,F124,D$92-SUM(E$99:E124))</f>
        <v>917758.23666666634</v>
      </c>
      <c r="E125" s="485">
        <f t="shared" si="22"/>
        <v>52247</v>
      </c>
      <c r="F125" s="486">
        <f t="shared" si="23"/>
        <v>865511.23666666634</v>
      </c>
      <c r="G125" s="486">
        <f t="shared" si="24"/>
        <v>891634.73666666634</v>
      </c>
      <c r="H125" s="487">
        <f t="shared" si="27"/>
        <v>155050.03379008407</v>
      </c>
      <c r="I125" s="543">
        <f t="shared" si="28"/>
        <v>155050.03379008407</v>
      </c>
      <c r="J125" s="479">
        <f t="shared" si="19"/>
        <v>0</v>
      </c>
      <c r="K125" s="479"/>
      <c r="L125" s="488"/>
      <c r="M125" s="479">
        <f t="shared" si="26"/>
        <v>0</v>
      </c>
      <c r="N125" s="488"/>
      <c r="O125" s="479">
        <f t="shared" si="20"/>
        <v>0</v>
      </c>
      <c r="P125" s="479">
        <f t="shared" si="21"/>
        <v>0</v>
      </c>
    </row>
    <row r="126" spans="2:16" ht="12.5">
      <c r="B126" s="160" t="str">
        <f t="shared" si="18"/>
        <v/>
      </c>
      <c r="C126" s="473">
        <f>IF(D93="","-",+C125+1)</f>
        <v>2041</v>
      </c>
      <c r="D126" s="347">
        <f>IF(F125+SUM(E$99:E125)=D$92,F125,D$92-SUM(E$99:E125))</f>
        <v>865511.23666666634</v>
      </c>
      <c r="E126" s="485">
        <f t="shared" si="22"/>
        <v>52247</v>
      </c>
      <c r="F126" s="486">
        <f t="shared" si="23"/>
        <v>813264.23666666634</v>
      </c>
      <c r="G126" s="486">
        <f t="shared" si="24"/>
        <v>839387.73666666634</v>
      </c>
      <c r="H126" s="487">
        <f t="shared" si="27"/>
        <v>149026.09833136661</v>
      </c>
      <c r="I126" s="543">
        <f t="shared" si="28"/>
        <v>149026.09833136661</v>
      </c>
      <c r="J126" s="479">
        <f t="shared" si="19"/>
        <v>0</v>
      </c>
      <c r="K126" s="479"/>
      <c r="L126" s="488"/>
      <c r="M126" s="479">
        <f t="shared" si="26"/>
        <v>0</v>
      </c>
      <c r="N126" s="488"/>
      <c r="O126" s="479">
        <f t="shared" si="20"/>
        <v>0</v>
      </c>
      <c r="P126" s="479">
        <f t="shared" si="21"/>
        <v>0</v>
      </c>
    </row>
    <row r="127" spans="2:16" ht="12.5">
      <c r="B127" s="160" t="str">
        <f t="shared" si="18"/>
        <v/>
      </c>
      <c r="C127" s="473">
        <f>IF(D93="","-",+C126+1)</f>
        <v>2042</v>
      </c>
      <c r="D127" s="347">
        <f>IF(F126+SUM(E$99:E126)=D$92,F126,D$92-SUM(E$99:E126))</f>
        <v>813264.23666666634</v>
      </c>
      <c r="E127" s="485">
        <f t="shared" si="22"/>
        <v>52247</v>
      </c>
      <c r="F127" s="486">
        <f t="shared" si="23"/>
        <v>761017.23666666634</v>
      </c>
      <c r="G127" s="486">
        <f t="shared" si="24"/>
        <v>787140.73666666634</v>
      </c>
      <c r="H127" s="487">
        <f t="shared" si="27"/>
        <v>143002.16287264918</v>
      </c>
      <c r="I127" s="543">
        <f t="shared" si="28"/>
        <v>143002.16287264918</v>
      </c>
      <c r="J127" s="479">
        <f t="shared" si="19"/>
        <v>0</v>
      </c>
      <c r="K127" s="479"/>
      <c r="L127" s="488"/>
      <c r="M127" s="479">
        <f t="shared" si="26"/>
        <v>0</v>
      </c>
      <c r="N127" s="488"/>
      <c r="O127" s="479">
        <f t="shared" si="20"/>
        <v>0</v>
      </c>
      <c r="P127" s="479">
        <f t="shared" si="21"/>
        <v>0</v>
      </c>
    </row>
    <row r="128" spans="2:16" ht="12.5">
      <c r="B128" s="160" t="str">
        <f t="shared" si="18"/>
        <v/>
      </c>
      <c r="C128" s="473">
        <f>IF(D93="","-",+C127+1)</f>
        <v>2043</v>
      </c>
      <c r="D128" s="347">
        <f>IF(F127+SUM(E$99:E127)=D$92,F127,D$92-SUM(E$99:E127))</f>
        <v>761017.23666666634</v>
      </c>
      <c r="E128" s="485">
        <f t="shared" si="22"/>
        <v>52247</v>
      </c>
      <c r="F128" s="486">
        <f t="shared" si="23"/>
        <v>708770.23666666634</v>
      </c>
      <c r="G128" s="486">
        <f t="shared" si="24"/>
        <v>734893.73666666634</v>
      </c>
      <c r="H128" s="487">
        <f t="shared" si="27"/>
        <v>136978.22741393175</v>
      </c>
      <c r="I128" s="543">
        <f t="shared" si="28"/>
        <v>136978.22741393175</v>
      </c>
      <c r="J128" s="479">
        <f t="shared" si="19"/>
        <v>0</v>
      </c>
      <c r="K128" s="479"/>
      <c r="L128" s="488"/>
      <c r="M128" s="479">
        <f t="shared" si="26"/>
        <v>0</v>
      </c>
      <c r="N128" s="488"/>
      <c r="O128" s="479">
        <f t="shared" si="20"/>
        <v>0</v>
      </c>
      <c r="P128" s="479">
        <f t="shared" si="21"/>
        <v>0</v>
      </c>
    </row>
    <row r="129" spans="2:16" ht="12.5">
      <c r="B129" s="160" t="str">
        <f t="shared" si="18"/>
        <v/>
      </c>
      <c r="C129" s="473">
        <f>IF(D93="","-",+C128+1)</f>
        <v>2044</v>
      </c>
      <c r="D129" s="347">
        <f>IF(F128+SUM(E$99:E128)=D$92,F128,D$92-SUM(E$99:E128))</f>
        <v>708770.23666666634</v>
      </c>
      <c r="E129" s="485">
        <f t="shared" si="22"/>
        <v>52247</v>
      </c>
      <c r="F129" s="486">
        <f t="shared" si="23"/>
        <v>656523.23666666634</v>
      </c>
      <c r="G129" s="486">
        <f t="shared" si="24"/>
        <v>682646.73666666634</v>
      </c>
      <c r="H129" s="487">
        <f t="shared" si="27"/>
        <v>130954.29195521428</v>
      </c>
      <c r="I129" s="543">
        <f t="shared" si="28"/>
        <v>130954.29195521428</v>
      </c>
      <c r="J129" s="479">
        <f t="shared" si="19"/>
        <v>0</v>
      </c>
      <c r="K129" s="479"/>
      <c r="L129" s="488"/>
      <c r="M129" s="479">
        <f t="shared" si="26"/>
        <v>0</v>
      </c>
      <c r="N129" s="488"/>
      <c r="O129" s="479">
        <f t="shared" si="20"/>
        <v>0</v>
      </c>
      <c r="P129" s="479">
        <f t="shared" si="21"/>
        <v>0</v>
      </c>
    </row>
    <row r="130" spans="2:16" ht="12.5">
      <c r="B130" s="160" t="str">
        <f t="shared" si="18"/>
        <v/>
      </c>
      <c r="C130" s="473">
        <f>IF(D93="","-",+C129+1)</f>
        <v>2045</v>
      </c>
      <c r="D130" s="347">
        <f>IF(F129+SUM(E$99:E129)=D$92,F129,D$92-SUM(E$99:E129))</f>
        <v>656523.23666666634</v>
      </c>
      <c r="E130" s="485">
        <f t="shared" si="22"/>
        <v>52247</v>
      </c>
      <c r="F130" s="486">
        <f t="shared" si="23"/>
        <v>604276.23666666634</v>
      </c>
      <c r="G130" s="486">
        <f t="shared" si="24"/>
        <v>630399.73666666634</v>
      </c>
      <c r="H130" s="487">
        <f t="shared" si="27"/>
        <v>124930.35649649684</v>
      </c>
      <c r="I130" s="543">
        <f t="shared" si="28"/>
        <v>124930.35649649684</v>
      </c>
      <c r="J130" s="479">
        <f t="shared" si="19"/>
        <v>0</v>
      </c>
      <c r="K130" s="479"/>
      <c r="L130" s="488"/>
      <c r="M130" s="479">
        <f t="shared" si="26"/>
        <v>0</v>
      </c>
      <c r="N130" s="488"/>
      <c r="O130" s="479">
        <f t="shared" si="20"/>
        <v>0</v>
      </c>
      <c r="P130" s="479">
        <f t="shared" si="21"/>
        <v>0</v>
      </c>
    </row>
    <row r="131" spans="2:16" ht="12.5">
      <c r="B131" s="160" t="str">
        <f t="shared" si="18"/>
        <v/>
      </c>
      <c r="C131" s="473">
        <f>IF(D93="","-",+C130+1)</f>
        <v>2046</v>
      </c>
      <c r="D131" s="347">
        <f>IF(F130+SUM(E$99:E130)=D$92,F130,D$92-SUM(E$99:E130))</f>
        <v>604276.23666666634</v>
      </c>
      <c r="E131" s="485">
        <f t="shared" si="22"/>
        <v>52247</v>
      </c>
      <c r="F131" s="486">
        <f t="shared" si="23"/>
        <v>552029.23666666634</v>
      </c>
      <c r="G131" s="486">
        <f t="shared" si="24"/>
        <v>578152.73666666634</v>
      </c>
      <c r="H131" s="487">
        <f t="shared" si="27"/>
        <v>118906.42103777939</v>
      </c>
      <c r="I131" s="543">
        <f t="shared" si="28"/>
        <v>118906.42103777939</v>
      </c>
      <c r="J131" s="479">
        <f t="shared" si="19"/>
        <v>0</v>
      </c>
      <c r="K131" s="479"/>
      <c r="L131" s="488"/>
      <c r="M131" s="479">
        <f t="shared" ref="M131:M154" si="29">IF(L541&lt;&gt;0,+H541-L541,0)</f>
        <v>0</v>
      </c>
      <c r="N131" s="488"/>
      <c r="O131" s="479">
        <f t="shared" ref="O131:O154" si="30">IF(N541&lt;&gt;0,+I541-N541,0)</f>
        <v>0</v>
      </c>
      <c r="P131" s="479">
        <f t="shared" ref="P131:P154" si="31">+O541-M541</f>
        <v>0</v>
      </c>
    </row>
    <row r="132" spans="2:16" ht="12.5">
      <c r="B132" s="160" t="str">
        <f t="shared" si="18"/>
        <v/>
      </c>
      <c r="C132" s="473">
        <f>IF(D93="","-",+C131+1)</f>
        <v>2047</v>
      </c>
      <c r="D132" s="347">
        <f>IF(F131+SUM(E$99:E131)=D$92,F131,D$92-SUM(E$99:E131))</f>
        <v>552029.23666666634</v>
      </c>
      <c r="E132" s="485">
        <f t="shared" si="22"/>
        <v>52247</v>
      </c>
      <c r="F132" s="486">
        <f t="shared" si="23"/>
        <v>499782.23666666634</v>
      </c>
      <c r="G132" s="486">
        <f t="shared" si="24"/>
        <v>525905.73666666634</v>
      </c>
      <c r="H132" s="487">
        <f t="shared" si="27"/>
        <v>112882.48557906196</v>
      </c>
      <c r="I132" s="543">
        <f t="shared" si="28"/>
        <v>112882.48557906196</v>
      </c>
      <c r="J132" s="479">
        <f t="shared" si="19"/>
        <v>0</v>
      </c>
      <c r="K132" s="479"/>
      <c r="L132" s="488"/>
      <c r="M132" s="479">
        <f t="shared" si="29"/>
        <v>0</v>
      </c>
      <c r="N132" s="488"/>
      <c r="O132" s="479">
        <f t="shared" si="30"/>
        <v>0</v>
      </c>
      <c r="P132" s="479">
        <f t="shared" si="31"/>
        <v>0</v>
      </c>
    </row>
    <row r="133" spans="2:16" ht="12.5">
      <c r="B133" s="160" t="str">
        <f t="shared" si="18"/>
        <v/>
      </c>
      <c r="C133" s="473">
        <f>IF(D93="","-",+C132+1)</f>
        <v>2048</v>
      </c>
      <c r="D133" s="347">
        <f>IF(F132+SUM(E$99:E132)=D$92,F132,D$92-SUM(E$99:E132))</f>
        <v>499782.23666666634</v>
      </c>
      <c r="E133" s="485">
        <f t="shared" si="22"/>
        <v>52247</v>
      </c>
      <c r="F133" s="486">
        <f t="shared" si="23"/>
        <v>447535.23666666634</v>
      </c>
      <c r="G133" s="486">
        <f t="shared" si="24"/>
        <v>473658.73666666634</v>
      </c>
      <c r="H133" s="487">
        <f t="shared" si="27"/>
        <v>106858.5501203445</v>
      </c>
      <c r="I133" s="543">
        <f t="shared" si="28"/>
        <v>106858.5501203445</v>
      </c>
      <c r="J133" s="479">
        <f t="shared" si="19"/>
        <v>0</v>
      </c>
      <c r="K133" s="479"/>
      <c r="L133" s="488"/>
      <c r="M133" s="479">
        <f t="shared" si="29"/>
        <v>0</v>
      </c>
      <c r="N133" s="488"/>
      <c r="O133" s="479">
        <f t="shared" si="30"/>
        <v>0</v>
      </c>
      <c r="P133" s="479">
        <f t="shared" si="31"/>
        <v>0</v>
      </c>
    </row>
    <row r="134" spans="2:16" ht="12.5">
      <c r="B134" s="160" t="str">
        <f t="shared" si="18"/>
        <v/>
      </c>
      <c r="C134" s="473">
        <f>IF(D93="","-",+C133+1)</f>
        <v>2049</v>
      </c>
      <c r="D134" s="347">
        <f>IF(F133+SUM(E$99:E133)=D$92,F133,D$92-SUM(E$99:E133))</f>
        <v>447535.23666666634</v>
      </c>
      <c r="E134" s="485">
        <f t="shared" si="22"/>
        <v>52247</v>
      </c>
      <c r="F134" s="486">
        <f t="shared" si="23"/>
        <v>395288.23666666634</v>
      </c>
      <c r="G134" s="486">
        <f t="shared" si="24"/>
        <v>421411.73666666634</v>
      </c>
      <c r="H134" s="487">
        <f t="shared" si="27"/>
        <v>100834.61466162707</v>
      </c>
      <c r="I134" s="543">
        <f t="shared" si="28"/>
        <v>100834.61466162707</v>
      </c>
      <c r="J134" s="479">
        <f t="shared" si="19"/>
        <v>0</v>
      </c>
      <c r="K134" s="479"/>
      <c r="L134" s="488"/>
      <c r="M134" s="479">
        <f t="shared" si="29"/>
        <v>0</v>
      </c>
      <c r="N134" s="488"/>
      <c r="O134" s="479">
        <f t="shared" si="30"/>
        <v>0</v>
      </c>
      <c r="P134" s="479">
        <f t="shared" si="31"/>
        <v>0</v>
      </c>
    </row>
    <row r="135" spans="2:16" ht="12.5">
      <c r="B135" s="160" t="str">
        <f t="shared" si="18"/>
        <v/>
      </c>
      <c r="C135" s="473">
        <f>IF(D93="","-",+C134+1)</f>
        <v>2050</v>
      </c>
      <c r="D135" s="347">
        <f>IF(F134+SUM(E$99:E134)=D$92,F134,D$92-SUM(E$99:E134))</f>
        <v>395288.23666666634</v>
      </c>
      <c r="E135" s="485">
        <f t="shared" si="22"/>
        <v>52247</v>
      </c>
      <c r="F135" s="486">
        <f t="shared" si="23"/>
        <v>343041.23666666634</v>
      </c>
      <c r="G135" s="486">
        <f t="shared" si="24"/>
        <v>369164.73666666634</v>
      </c>
      <c r="H135" s="487">
        <f t="shared" si="27"/>
        <v>94810.679202909625</v>
      </c>
      <c r="I135" s="543">
        <f t="shared" si="28"/>
        <v>94810.679202909625</v>
      </c>
      <c r="J135" s="479">
        <f t="shared" si="19"/>
        <v>0</v>
      </c>
      <c r="K135" s="479"/>
      <c r="L135" s="488"/>
      <c r="M135" s="479">
        <f t="shared" si="29"/>
        <v>0</v>
      </c>
      <c r="N135" s="488"/>
      <c r="O135" s="479">
        <f t="shared" si="30"/>
        <v>0</v>
      </c>
      <c r="P135" s="479">
        <f t="shared" si="31"/>
        <v>0</v>
      </c>
    </row>
    <row r="136" spans="2:16" ht="12.5">
      <c r="B136" s="160" t="str">
        <f t="shared" si="18"/>
        <v/>
      </c>
      <c r="C136" s="473">
        <f>IF(D93="","-",+C135+1)</f>
        <v>2051</v>
      </c>
      <c r="D136" s="347">
        <f>IF(F135+SUM(E$99:E135)=D$92,F135,D$92-SUM(E$99:E135))</f>
        <v>343041.23666666634</v>
      </c>
      <c r="E136" s="485">
        <f t="shared" si="22"/>
        <v>52247</v>
      </c>
      <c r="F136" s="486">
        <f t="shared" si="23"/>
        <v>290794.23666666634</v>
      </c>
      <c r="G136" s="486">
        <f t="shared" si="24"/>
        <v>316917.73666666634</v>
      </c>
      <c r="H136" s="487">
        <f t="shared" si="27"/>
        <v>88786.743744192179</v>
      </c>
      <c r="I136" s="543">
        <f t="shared" si="28"/>
        <v>88786.743744192179</v>
      </c>
      <c r="J136" s="479">
        <f t="shared" si="19"/>
        <v>0</v>
      </c>
      <c r="K136" s="479"/>
      <c r="L136" s="488"/>
      <c r="M136" s="479">
        <f t="shared" si="29"/>
        <v>0</v>
      </c>
      <c r="N136" s="488"/>
      <c r="O136" s="479">
        <f t="shared" si="30"/>
        <v>0</v>
      </c>
      <c r="P136" s="479">
        <f t="shared" si="31"/>
        <v>0</v>
      </c>
    </row>
    <row r="137" spans="2:16" ht="12.5">
      <c r="B137" s="160" t="str">
        <f t="shared" si="18"/>
        <v/>
      </c>
      <c r="C137" s="473">
        <f>IF(D93="","-",+C136+1)</f>
        <v>2052</v>
      </c>
      <c r="D137" s="347">
        <f>IF(F136+SUM(E$99:E136)=D$92,F136,D$92-SUM(E$99:E136))</f>
        <v>290794.23666666634</v>
      </c>
      <c r="E137" s="485">
        <f t="shared" si="22"/>
        <v>52247</v>
      </c>
      <c r="F137" s="486">
        <f t="shared" si="23"/>
        <v>238547.23666666634</v>
      </c>
      <c r="G137" s="486">
        <f t="shared" si="24"/>
        <v>264670.73666666634</v>
      </c>
      <c r="H137" s="487">
        <f t="shared" si="27"/>
        <v>82762.808285474734</v>
      </c>
      <c r="I137" s="543">
        <f t="shared" si="28"/>
        <v>82762.808285474734</v>
      </c>
      <c r="J137" s="479">
        <f t="shared" si="19"/>
        <v>0</v>
      </c>
      <c r="K137" s="479"/>
      <c r="L137" s="488"/>
      <c r="M137" s="479">
        <f t="shared" si="29"/>
        <v>0</v>
      </c>
      <c r="N137" s="488"/>
      <c r="O137" s="479">
        <f t="shared" si="30"/>
        <v>0</v>
      </c>
      <c r="P137" s="479">
        <f t="shared" si="31"/>
        <v>0</v>
      </c>
    </row>
    <row r="138" spans="2:16" ht="12.5">
      <c r="B138" s="160" t="str">
        <f t="shared" si="18"/>
        <v/>
      </c>
      <c r="C138" s="473">
        <f>IF(D93="","-",+C137+1)</f>
        <v>2053</v>
      </c>
      <c r="D138" s="347">
        <f>IF(F137+SUM(E$99:E137)=D$92,F137,D$92-SUM(E$99:E137))</f>
        <v>238547.23666666634</v>
      </c>
      <c r="E138" s="485">
        <f t="shared" si="22"/>
        <v>52247</v>
      </c>
      <c r="F138" s="486">
        <f t="shared" si="23"/>
        <v>186300.23666666634</v>
      </c>
      <c r="G138" s="486">
        <f t="shared" si="24"/>
        <v>212423.73666666634</v>
      </c>
      <c r="H138" s="487">
        <f t="shared" si="27"/>
        <v>76738.872826757288</v>
      </c>
      <c r="I138" s="543">
        <f t="shared" si="28"/>
        <v>76738.872826757288</v>
      </c>
      <c r="J138" s="479">
        <f t="shared" si="19"/>
        <v>0</v>
      </c>
      <c r="K138" s="479"/>
      <c r="L138" s="488"/>
      <c r="M138" s="479">
        <f t="shared" si="29"/>
        <v>0</v>
      </c>
      <c r="N138" s="488"/>
      <c r="O138" s="479">
        <f t="shared" si="30"/>
        <v>0</v>
      </c>
      <c r="P138" s="479">
        <f t="shared" si="31"/>
        <v>0</v>
      </c>
    </row>
    <row r="139" spans="2:16" ht="12.5">
      <c r="B139" s="160" t="str">
        <f t="shared" si="18"/>
        <v/>
      </c>
      <c r="C139" s="473">
        <f>IF(D93="","-",+C138+1)</f>
        <v>2054</v>
      </c>
      <c r="D139" s="347">
        <f>IF(F138+SUM(E$99:E138)=D$92,F138,D$92-SUM(E$99:E138))</f>
        <v>186300.23666666634</v>
      </c>
      <c r="E139" s="485">
        <f t="shared" si="22"/>
        <v>52247</v>
      </c>
      <c r="F139" s="486">
        <f t="shared" si="23"/>
        <v>134053.23666666634</v>
      </c>
      <c r="G139" s="486">
        <f t="shared" si="24"/>
        <v>160176.73666666634</v>
      </c>
      <c r="H139" s="487">
        <f t="shared" si="27"/>
        <v>70714.937368039842</v>
      </c>
      <c r="I139" s="543">
        <f t="shared" si="28"/>
        <v>70714.937368039842</v>
      </c>
      <c r="J139" s="479">
        <f t="shared" si="19"/>
        <v>0</v>
      </c>
      <c r="K139" s="479"/>
      <c r="L139" s="488"/>
      <c r="M139" s="479">
        <f t="shared" si="29"/>
        <v>0</v>
      </c>
      <c r="N139" s="488"/>
      <c r="O139" s="479">
        <f t="shared" si="30"/>
        <v>0</v>
      </c>
      <c r="P139" s="479">
        <f t="shared" si="31"/>
        <v>0</v>
      </c>
    </row>
    <row r="140" spans="2:16" ht="12.5">
      <c r="B140" s="160" t="str">
        <f t="shared" si="18"/>
        <v/>
      </c>
      <c r="C140" s="473">
        <f>IF(D93="","-",+C139+1)</f>
        <v>2055</v>
      </c>
      <c r="D140" s="347">
        <f>IF(F139+SUM(E$99:E139)=D$92,F139,D$92-SUM(E$99:E139))</f>
        <v>134053.23666666634</v>
      </c>
      <c r="E140" s="485">
        <f t="shared" si="22"/>
        <v>52247</v>
      </c>
      <c r="F140" s="486">
        <f t="shared" si="23"/>
        <v>81806.236666666344</v>
      </c>
      <c r="G140" s="486">
        <f t="shared" si="24"/>
        <v>107929.73666666634</v>
      </c>
      <c r="H140" s="487">
        <f t="shared" si="27"/>
        <v>64691.001909322404</v>
      </c>
      <c r="I140" s="543">
        <f t="shared" si="28"/>
        <v>64691.001909322404</v>
      </c>
      <c r="J140" s="479">
        <f t="shared" si="19"/>
        <v>0</v>
      </c>
      <c r="K140" s="479"/>
      <c r="L140" s="488"/>
      <c r="M140" s="479">
        <f t="shared" si="29"/>
        <v>0</v>
      </c>
      <c r="N140" s="488"/>
      <c r="O140" s="479">
        <f t="shared" si="30"/>
        <v>0</v>
      </c>
      <c r="P140" s="479">
        <f t="shared" si="31"/>
        <v>0</v>
      </c>
    </row>
    <row r="141" spans="2:16" ht="12.5">
      <c r="B141" s="160" t="str">
        <f t="shared" si="18"/>
        <v/>
      </c>
      <c r="C141" s="473">
        <f>IF(D93="","-",+C140+1)</f>
        <v>2056</v>
      </c>
      <c r="D141" s="347">
        <f>IF(F140+SUM(E$99:E140)=D$92,F140,D$92-SUM(E$99:E140))</f>
        <v>81806.236666666344</v>
      </c>
      <c r="E141" s="485">
        <f t="shared" si="22"/>
        <v>52247</v>
      </c>
      <c r="F141" s="486">
        <f t="shared" si="23"/>
        <v>29559.236666666344</v>
      </c>
      <c r="G141" s="486">
        <f t="shared" si="24"/>
        <v>55682.736666666344</v>
      </c>
      <c r="H141" s="487">
        <f t="shared" si="27"/>
        <v>58667.066450604958</v>
      </c>
      <c r="I141" s="543">
        <f t="shared" si="28"/>
        <v>58667.066450604958</v>
      </c>
      <c r="J141" s="479">
        <f t="shared" si="19"/>
        <v>0</v>
      </c>
      <c r="K141" s="479"/>
      <c r="L141" s="488"/>
      <c r="M141" s="479">
        <f t="shared" si="29"/>
        <v>0</v>
      </c>
      <c r="N141" s="488"/>
      <c r="O141" s="479">
        <f t="shared" si="30"/>
        <v>0</v>
      </c>
      <c r="P141" s="479">
        <f t="shared" si="31"/>
        <v>0</v>
      </c>
    </row>
    <row r="142" spans="2:16" ht="12.5">
      <c r="B142" s="160" t="str">
        <f t="shared" si="18"/>
        <v/>
      </c>
      <c r="C142" s="473">
        <f>IF(D93="","-",+C141+1)</f>
        <v>2057</v>
      </c>
      <c r="D142" s="347">
        <f>IF(F141+SUM(E$99:E141)=D$92,F141,D$92-SUM(E$99:E141))</f>
        <v>29559.236666666344</v>
      </c>
      <c r="E142" s="485">
        <f t="shared" si="22"/>
        <v>29559.236666666344</v>
      </c>
      <c r="F142" s="486">
        <f t="shared" si="23"/>
        <v>0</v>
      </c>
      <c r="G142" s="486">
        <f t="shared" si="24"/>
        <v>14779.618333333172</v>
      </c>
      <c r="H142" s="487">
        <f t="shared" si="27"/>
        <v>31263.286027289461</v>
      </c>
      <c r="I142" s="543">
        <f t="shared" si="28"/>
        <v>31263.286027289461</v>
      </c>
      <c r="J142" s="479">
        <f t="shared" si="19"/>
        <v>0</v>
      </c>
      <c r="K142" s="479"/>
      <c r="L142" s="488"/>
      <c r="M142" s="479">
        <f t="shared" si="29"/>
        <v>0</v>
      </c>
      <c r="N142" s="488"/>
      <c r="O142" s="479">
        <f t="shared" si="30"/>
        <v>0</v>
      </c>
      <c r="P142" s="479">
        <f t="shared" si="31"/>
        <v>0</v>
      </c>
    </row>
    <row r="143" spans="2:16" ht="12.5">
      <c r="B143" s="160" t="str">
        <f t="shared" si="18"/>
        <v/>
      </c>
      <c r="C143" s="473">
        <f>IF(D93="","-",+C142+1)</f>
        <v>2058</v>
      </c>
      <c r="D143" s="347">
        <f>IF(F142+SUM(E$99:E142)=D$92,F142,D$92-SUM(E$99:E142))</f>
        <v>0</v>
      </c>
      <c r="E143" s="485">
        <f t="shared" si="22"/>
        <v>0</v>
      </c>
      <c r="F143" s="486">
        <f t="shared" si="23"/>
        <v>0</v>
      </c>
      <c r="G143" s="486">
        <f t="shared" si="24"/>
        <v>0</v>
      </c>
      <c r="H143" s="487">
        <f t="shared" si="27"/>
        <v>0</v>
      </c>
      <c r="I143" s="543">
        <f t="shared" si="28"/>
        <v>0</v>
      </c>
      <c r="J143" s="479">
        <f t="shared" si="19"/>
        <v>0</v>
      </c>
      <c r="K143" s="479"/>
      <c r="L143" s="488"/>
      <c r="M143" s="479">
        <f t="shared" si="29"/>
        <v>0</v>
      </c>
      <c r="N143" s="488"/>
      <c r="O143" s="479">
        <f t="shared" si="30"/>
        <v>0</v>
      </c>
      <c r="P143" s="479">
        <f t="shared" si="31"/>
        <v>0</v>
      </c>
    </row>
    <row r="144" spans="2:16" ht="12.5">
      <c r="B144" s="160" t="str">
        <f t="shared" si="18"/>
        <v/>
      </c>
      <c r="C144" s="473">
        <f>IF(D93="","-",+C143+1)</f>
        <v>2059</v>
      </c>
      <c r="D144" s="347">
        <f>IF(F143+SUM(E$99:E143)=D$92,F143,D$92-SUM(E$99:E143))</f>
        <v>0</v>
      </c>
      <c r="E144" s="485">
        <f t="shared" si="22"/>
        <v>0</v>
      </c>
      <c r="F144" s="486">
        <f t="shared" si="23"/>
        <v>0</v>
      </c>
      <c r="G144" s="486">
        <f t="shared" si="24"/>
        <v>0</v>
      </c>
      <c r="H144" s="487">
        <f t="shared" si="27"/>
        <v>0</v>
      </c>
      <c r="I144" s="543">
        <f t="shared" si="28"/>
        <v>0</v>
      </c>
      <c r="J144" s="479">
        <f t="shared" si="19"/>
        <v>0</v>
      </c>
      <c r="K144" s="479"/>
      <c r="L144" s="488"/>
      <c r="M144" s="479">
        <f t="shared" si="29"/>
        <v>0</v>
      </c>
      <c r="N144" s="488"/>
      <c r="O144" s="479">
        <f t="shared" si="30"/>
        <v>0</v>
      </c>
      <c r="P144" s="479">
        <f t="shared" si="31"/>
        <v>0</v>
      </c>
    </row>
    <row r="145" spans="2:16" ht="12.5">
      <c r="B145" s="160" t="str">
        <f t="shared" si="18"/>
        <v/>
      </c>
      <c r="C145" s="473">
        <f>IF(D93="","-",+C144+1)</f>
        <v>2060</v>
      </c>
      <c r="D145" s="347">
        <f>IF(F144+SUM(E$99:E144)=D$92,F144,D$92-SUM(E$99:E144))</f>
        <v>0</v>
      </c>
      <c r="E145" s="485">
        <f t="shared" si="22"/>
        <v>0</v>
      </c>
      <c r="F145" s="486">
        <f t="shared" si="23"/>
        <v>0</v>
      </c>
      <c r="G145" s="486">
        <f t="shared" si="24"/>
        <v>0</v>
      </c>
      <c r="H145" s="487">
        <f t="shared" si="27"/>
        <v>0</v>
      </c>
      <c r="I145" s="543">
        <f t="shared" si="28"/>
        <v>0</v>
      </c>
      <c r="J145" s="479">
        <f t="shared" si="19"/>
        <v>0</v>
      </c>
      <c r="K145" s="479"/>
      <c r="L145" s="488"/>
      <c r="M145" s="479">
        <f t="shared" si="29"/>
        <v>0</v>
      </c>
      <c r="N145" s="488"/>
      <c r="O145" s="479">
        <f t="shared" si="30"/>
        <v>0</v>
      </c>
      <c r="P145" s="479">
        <f t="shared" si="31"/>
        <v>0</v>
      </c>
    </row>
    <row r="146" spans="2:16" ht="12.5">
      <c r="B146" s="160" t="str">
        <f t="shared" si="18"/>
        <v/>
      </c>
      <c r="C146" s="473">
        <f>IF(D93="","-",+C145+1)</f>
        <v>2061</v>
      </c>
      <c r="D146" s="347">
        <f>IF(F145+SUM(E$99:E145)=D$92,F145,D$92-SUM(E$99:E145))</f>
        <v>0</v>
      </c>
      <c r="E146" s="485">
        <f t="shared" si="22"/>
        <v>0</v>
      </c>
      <c r="F146" s="486">
        <f t="shared" si="23"/>
        <v>0</v>
      </c>
      <c r="G146" s="486">
        <f t="shared" si="24"/>
        <v>0</v>
      </c>
      <c r="H146" s="487">
        <f t="shared" si="27"/>
        <v>0</v>
      </c>
      <c r="I146" s="543">
        <f t="shared" si="28"/>
        <v>0</v>
      </c>
      <c r="J146" s="479">
        <f t="shared" si="19"/>
        <v>0</v>
      </c>
      <c r="K146" s="479"/>
      <c r="L146" s="488"/>
      <c r="M146" s="479">
        <f t="shared" si="29"/>
        <v>0</v>
      </c>
      <c r="N146" s="488"/>
      <c r="O146" s="479">
        <f t="shared" si="30"/>
        <v>0</v>
      </c>
      <c r="P146" s="479">
        <f t="shared" si="31"/>
        <v>0</v>
      </c>
    </row>
    <row r="147" spans="2:16" ht="12.5">
      <c r="B147" s="160" t="str">
        <f t="shared" si="18"/>
        <v/>
      </c>
      <c r="C147" s="473">
        <f>IF(D93="","-",+C146+1)</f>
        <v>2062</v>
      </c>
      <c r="D147" s="347">
        <f>IF(F146+SUM(E$99:E146)=D$92,F146,D$92-SUM(E$99:E146))</f>
        <v>0</v>
      </c>
      <c r="E147" s="485">
        <f t="shared" si="22"/>
        <v>0</v>
      </c>
      <c r="F147" s="486">
        <f t="shared" si="23"/>
        <v>0</v>
      </c>
      <c r="G147" s="486">
        <f t="shared" si="24"/>
        <v>0</v>
      </c>
      <c r="H147" s="487">
        <f t="shared" si="27"/>
        <v>0</v>
      </c>
      <c r="I147" s="543">
        <f t="shared" si="28"/>
        <v>0</v>
      </c>
      <c r="J147" s="479">
        <f t="shared" si="19"/>
        <v>0</v>
      </c>
      <c r="K147" s="479"/>
      <c r="L147" s="488"/>
      <c r="M147" s="479">
        <f t="shared" si="29"/>
        <v>0</v>
      </c>
      <c r="N147" s="488"/>
      <c r="O147" s="479">
        <f t="shared" si="30"/>
        <v>0</v>
      </c>
      <c r="P147" s="479">
        <f t="shared" si="31"/>
        <v>0</v>
      </c>
    </row>
    <row r="148" spans="2:16" ht="12.5">
      <c r="B148" s="160" t="str">
        <f t="shared" si="18"/>
        <v/>
      </c>
      <c r="C148" s="473">
        <f>IF(D93="","-",+C147+1)</f>
        <v>2063</v>
      </c>
      <c r="D148" s="347">
        <f>IF(F147+SUM(E$99:E147)=D$92,F147,D$92-SUM(E$99:E147))</f>
        <v>0</v>
      </c>
      <c r="E148" s="485">
        <f t="shared" si="22"/>
        <v>0</v>
      </c>
      <c r="F148" s="486">
        <f t="shared" si="23"/>
        <v>0</v>
      </c>
      <c r="G148" s="486">
        <f t="shared" si="24"/>
        <v>0</v>
      </c>
      <c r="H148" s="487">
        <f t="shared" si="27"/>
        <v>0</v>
      </c>
      <c r="I148" s="543">
        <f t="shared" si="28"/>
        <v>0</v>
      </c>
      <c r="J148" s="479">
        <f t="shared" si="19"/>
        <v>0</v>
      </c>
      <c r="K148" s="479"/>
      <c r="L148" s="488"/>
      <c r="M148" s="479">
        <f t="shared" si="29"/>
        <v>0</v>
      </c>
      <c r="N148" s="488"/>
      <c r="O148" s="479">
        <f t="shared" si="30"/>
        <v>0</v>
      </c>
      <c r="P148" s="479">
        <f t="shared" si="31"/>
        <v>0</v>
      </c>
    </row>
    <row r="149" spans="2:16" ht="12.5">
      <c r="B149" s="160" t="str">
        <f t="shared" si="18"/>
        <v/>
      </c>
      <c r="C149" s="473">
        <f>IF(D93="","-",+C148+1)</f>
        <v>2064</v>
      </c>
      <c r="D149" s="347">
        <f>IF(F148+SUM(E$99:E148)=D$92,F148,D$92-SUM(E$99:E148))</f>
        <v>0</v>
      </c>
      <c r="E149" s="485">
        <f t="shared" si="22"/>
        <v>0</v>
      </c>
      <c r="F149" s="486">
        <f t="shared" si="23"/>
        <v>0</v>
      </c>
      <c r="G149" s="486">
        <f t="shared" si="24"/>
        <v>0</v>
      </c>
      <c r="H149" s="487">
        <f t="shared" si="27"/>
        <v>0</v>
      </c>
      <c r="I149" s="543">
        <f t="shared" si="28"/>
        <v>0</v>
      </c>
      <c r="J149" s="479">
        <f t="shared" si="19"/>
        <v>0</v>
      </c>
      <c r="K149" s="479"/>
      <c r="L149" s="488"/>
      <c r="M149" s="479">
        <f t="shared" si="29"/>
        <v>0</v>
      </c>
      <c r="N149" s="488"/>
      <c r="O149" s="479">
        <f t="shared" si="30"/>
        <v>0</v>
      </c>
      <c r="P149" s="479">
        <f t="shared" si="31"/>
        <v>0</v>
      </c>
    </row>
    <row r="150" spans="2:16" ht="12.5">
      <c r="B150" s="160" t="str">
        <f t="shared" si="18"/>
        <v/>
      </c>
      <c r="C150" s="473">
        <f>IF(D93="","-",+C149+1)</f>
        <v>2065</v>
      </c>
      <c r="D150" s="347">
        <f>IF(F149+SUM(E$99:E149)=D$92,F149,D$92-SUM(E$99:E149))</f>
        <v>0</v>
      </c>
      <c r="E150" s="485">
        <f t="shared" si="22"/>
        <v>0</v>
      </c>
      <c r="F150" s="486">
        <f t="shared" si="23"/>
        <v>0</v>
      </c>
      <c r="G150" s="486">
        <f t="shared" si="24"/>
        <v>0</v>
      </c>
      <c r="H150" s="487">
        <f t="shared" si="27"/>
        <v>0</v>
      </c>
      <c r="I150" s="543">
        <f t="shared" si="28"/>
        <v>0</v>
      </c>
      <c r="J150" s="479">
        <f t="shared" si="19"/>
        <v>0</v>
      </c>
      <c r="K150" s="479"/>
      <c r="L150" s="488"/>
      <c r="M150" s="479">
        <f t="shared" si="29"/>
        <v>0</v>
      </c>
      <c r="N150" s="488"/>
      <c r="O150" s="479">
        <f t="shared" si="30"/>
        <v>0</v>
      </c>
      <c r="P150" s="479">
        <f t="shared" si="31"/>
        <v>0</v>
      </c>
    </row>
    <row r="151" spans="2:16" ht="12.5">
      <c r="B151" s="160" t="str">
        <f t="shared" si="18"/>
        <v/>
      </c>
      <c r="C151" s="473">
        <f>IF(D93="","-",+C150+1)</f>
        <v>2066</v>
      </c>
      <c r="D151" s="347">
        <f>IF(F150+SUM(E$99:E150)=D$92,F150,D$92-SUM(E$99:E150))</f>
        <v>0</v>
      </c>
      <c r="E151" s="485">
        <f t="shared" si="22"/>
        <v>0</v>
      </c>
      <c r="F151" s="486">
        <f t="shared" si="23"/>
        <v>0</v>
      </c>
      <c r="G151" s="486">
        <f t="shared" si="24"/>
        <v>0</v>
      </c>
      <c r="H151" s="487">
        <f t="shared" si="27"/>
        <v>0</v>
      </c>
      <c r="I151" s="543">
        <f t="shared" si="28"/>
        <v>0</v>
      </c>
      <c r="J151" s="479">
        <f t="shared" si="19"/>
        <v>0</v>
      </c>
      <c r="K151" s="479"/>
      <c r="L151" s="488"/>
      <c r="M151" s="479">
        <f t="shared" si="29"/>
        <v>0</v>
      </c>
      <c r="N151" s="488"/>
      <c r="O151" s="479">
        <f t="shared" si="30"/>
        <v>0</v>
      </c>
      <c r="P151" s="479">
        <f t="shared" si="31"/>
        <v>0</v>
      </c>
    </row>
    <row r="152" spans="2:16" ht="12.5">
      <c r="B152" s="160" t="str">
        <f t="shared" si="18"/>
        <v/>
      </c>
      <c r="C152" s="473">
        <f>IF(D93="","-",+C151+1)</f>
        <v>2067</v>
      </c>
      <c r="D152" s="347">
        <f>IF(F151+SUM(E$99:E151)=D$92,F151,D$92-SUM(E$99:E151))</f>
        <v>0</v>
      </c>
      <c r="E152" s="485">
        <f t="shared" si="22"/>
        <v>0</v>
      </c>
      <c r="F152" s="486">
        <f t="shared" si="23"/>
        <v>0</v>
      </c>
      <c r="G152" s="486">
        <f t="shared" si="24"/>
        <v>0</v>
      </c>
      <c r="H152" s="487">
        <f t="shared" si="27"/>
        <v>0</v>
      </c>
      <c r="I152" s="543">
        <f t="shared" si="28"/>
        <v>0</v>
      </c>
      <c r="J152" s="479">
        <f t="shared" si="19"/>
        <v>0</v>
      </c>
      <c r="K152" s="479"/>
      <c r="L152" s="488"/>
      <c r="M152" s="479">
        <f t="shared" si="29"/>
        <v>0</v>
      </c>
      <c r="N152" s="488"/>
      <c r="O152" s="479">
        <f t="shared" si="30"/>
        <v>0</v>
      </c>
      <c r="P152" s="479">
        <f t="shared" si="31"/>
        <v>0</v>
      </c>
    </row>
    <row r="153" spans="2:16" ht="12.5">
      <c r="B153" s="160" t="str">
        <f t="shared" si="18"/>
        <v/>
      </c>
      <c r="C153" s="473">
        <f>IF(D93="","-",+C152+1)</f>
        <v>2068</v>
      </c>
      <c r="D153" s="347">
        <f>IF(F152+SUM(E$99:E152)=D$92,F152,D$92-SUM(E$99:E152))</f>
        <v>0</v>
      </c>
      <c r="E153" s="485">
        <f t="shared" si="22"/>
        <v>0</v>
      </c>
      <c r="F153" s="486">
        <f t="shared" si="23"/>
        <v>0</v>
      </c>
      <c r="G153" s="486">
        <f t="shared" si="24"/>
        <v>0</v>
      </c>
      <c r="H153" s="487">
        <f t="shared" si="27"/>
        <v>0</v>
      </c>
      <c r="I153" s="543">
        <f t="shared" si="28"/>
        <v>0</v>
      </c>
      <c r="J153" s="479">
        <f t="shared" si="19"/>
        <v>0</v>
      </c>
      <c r="K153" s="479"/>
      <c r="L153" s="488"/>
      <c r="M153" s="479">
        <f t="shared" si="29"/>
        <v>0</v>
      </c>
      <c r="N153" s="488"/>
      <c r="O153" s="479">
        <f t="shared" si="30"/>
        <v>0</v>
      </c>
      <c r="P153" s="479">
        <f t="shared" si="31"/>
        <v>0</v>
      </c>
    </row>
    <row r="154" spans="2:16" ht="13" thickBot="1">
      <c r="B154" s="160" t="str">
        <f t="shared" si="18"/>
        <v/>
      </c>
      <c r="C154" s="490">
        <f>IF(D93="","-",+C153+1)</f>
        <v>2069</v>
      </c>
      <c r="D154" s="577">
        <f>IF(F153+SUM(E$99:E153)=D$92,F153,D$92-SUM(E$99:E153))</f>
        <v>0</v>
      </c>
      <c r="E154" s="492">
        <f t="shared" si="22"/>
        <v>0</v>
      </c>
      <c r="F154" s="491">
        <f t="shared" si="23"/>
        <v>0</v>
      </c>
      <c r="G154" s="491">
        <f t="shared" si="24"/>
        <v>0</v>
      </c>
      <c r="H154" s="493">
        <f t="shared" ref="H154" si="32">+J$94*G154+E154</f>
        <v>0</v>
      </c>
      <c r="I154" s="546">
        <f t="shared" si="25"/>
        <v>0</v>
      </c>
      <c r="J154" s="496">
        <f t="shared" si="19"/>
        <v>0</v>
      </c>
      <c r="K154" s="496"/>
      <c r="L154" s="495"/>
      <c r="M154" s="496">
        <f t="shared" si="29"/>
        <v>0</v>
      </c>
      <c r="N154" s="495"/>
      <c r="O154" s="496">
        <f t="shared" si="30"/>
        <v>0</v>
      </c>
      <c r="P154" s="496">
        <f t="shared" si="31"/>
        <v>0</v>
      </c>
    </row>
    <row r="155" spans="2:16" ht="12.5">
      <c r="C155" s="347" t="s">
        <v>77</v>
      </c>
      <c r="D155" s="348"/>
      <c r="E155" s="348">
        <f>SUM(E99:E154)</f>
        <v>2246628.5699999998</v>
      </c>
      <c r="F155" s="348"/>
      <c r="G155" s="348"/>
      <c r="H155" s="348">
        <f>SUM(H99:H154)</f>
        <v>7908968.4538244754</v>
      </c>
      <c r="I155" s="348">
        <f>SUM(I99:I154)</f>
        <v>7908968.4538244754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P162"/>
  <sheetViews>
    <sheetView view="pageBreakPreview" topLeftCell="A64" zoomScale="80" zoomScaleNormal="100" zoomScaleSheetLayoutView="80" workbookViewId="0">
      <selection activeCell="D104" sqref="D104:I10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16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602674.25524940272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602674.25524940272</v>
      </c>
      <c r="O6" s="233"/>
      <c r="P6" s="233"/>
    </row>
    <row r="7" spans="1:16" ht="13.5" thickBot="1">
      <c r="C7" s="432" t="s">
        <v>46</v>
      </c>
      <c r="D7" s="600" t="s">
        <v>255</v>
      </c>
      <c r="E7" s="601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254</v>
      </c>
      <c r="E9" s="578" t="s">
        <v>262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5059278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2014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117657.62790697675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2014</v>
      </c>
      <c r="D17" s="585">
        <v>5300000</v>
      </c>
      <c r="E17" s="609">
        <v>0</v>
      </c>
      <c r="F17" s="585">
        <v>5300000</v>
      </c>
      <c r="G17" s="609">
        <v>729591.46876123699</v>
      </c>
      <c r="H17" s="588">
        <v>729591.46876123699</v>
      </c>
      <c r="I17" s="476">
        <v>0</v>
      </c>
      <c r="J17" s="476"/>
      <c r="K17" s="477">
        <f t="shared" ref="K17:K22" si="0">G17</f>
        <v>729591.46876123699</v>
      </c>
      <c r="L17" s="604">
        <f t="shared" ref="L17:L22" si="1">IF(K17&lt;&gt;0,+G17-K17,0)</f>
        <v>0</v>
      </c>
      <c r="M17" s="477">
        <f t="shared" ref="M17:M22" si="2">H17</f>
        <v>729591.46876123699</v>
      </c>
      <c r="N17" s="479">
        <f>IF(M17&lt;&gt;0,+H17-M17,0)</f>
        <v>0</v>
      </c>
      <c r="O17" s="476">
        <f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2015</v>
      </c>
      <c r="D18" s="585">
        <v>5300000</v>
      </c>
      <c r="E18" s="586">
        <v>101923.07692307692</v>
      </c>
      <c r="F18" s="585">
        <v>5198076.923076923</v>
      </c>
      <c r="G18" s="586">
        <v>818590.55430690572</v>
      </c>
      <c r="H18" s="588">
        <v>818590.55430690572</v>
      </c>
      <c r="I18" s="476">
        <v>0</v>
      </c>
      <c r="J18" s="476"/>
      <c r="K18" s="477">
        <f t="shared" si="0"/>
        <v>818590.55430690572</v>
      </c>
      <c r="L18" s="604">
        <f t="shared" si="1"/>
        <v>0</v>
      </c>
      <c r="M18" s="477">
        <f t="shared" si="2"/>
        <v>818590.55430690572</v>
      </c>
      <c r="N18" s="479">
        <f>IF(M18&lt;&gt;0,+H18-M18,0)</f>
        <v>0</v>
      </c>
      <c r="O18" s="476">
        <f>+N18-L18</f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2016</v>
      </c>
      <c r="D19" s="585">
        <v>4969414.923076923</v>
      </c>
      <c r="E19" s="586">
        <v>97525.730769230766</v>
      </c>
      <c r="F19" s="585">
        <v>4871889.192307692</v>
      </c>
      <c r="G19" s="586">
        <v>736520.73076923075</v>
      </c>
      <c r="H19" s="588">
        <v>736520.73076923075</v>
      </c>
      <c r="I19" s="476">
        <f>H19-G19</f>
        <v>0</v>
      </c>
      <c r="J19" s="476"/>
      <c r="K19" s="477">
        <f t="shared" si="0"/>
        <v>736520.73076923075</v>
      </c>
      <c r="L19" s="604">
        <f t="shared" si="1"/>
        <v>0</v>
      </c>
      <c r="M19" s="477">
        <f t="shared" si="2"/>
        <v>736520.73076923075</v>
      </c>
      <c r="N19" s="479">
        <f>IF(M19&lt;&gt;0,+H19-M19,0)</f>
        <v>0</v>
      </c>
      <c r="O19" s="476">
        <f>+N19-L19</f>
        <v>0</v>
      </c>
      <c r="P19" s="243"/>
    </row>
    <row r="20" spans="2:16" ht="12.5">
      <c r="B20" s="160" t="str">
        <f t="shared" ref="B20:B72" si="3">IF(D20=F19,"","IU")</f>
        <v>IU</v>
      </c>
      <c r="C20" s="473">
        <f>IF(D11="","-",+C19+1)</f>
        <v>2017</v>
      </c>
      <c r="D20" s="585">
        <v>4859829.192307692</v>
      </c>
      <c r="E20" s="586">
        <v>109984.30434782608</v>
      </c>
      <c r="F20" s="585">
        <v>4749844.8879598659</v>
      </c>
      <c r="G20" s="586">
        <v>714452.30434782605</v>
      </c>
      <c r="H20" s="588">
        <v>714452.30434782605</v>
      </c>
      <c r="I20" s="476">
        <f t="shared" ref="I20:I72" si="4">H20-G20</f>
        <v>0</v>
      </c>
      <c r="J20" s="476"/>
      <c r="K20" s="477">
        <f t="shared" si="0"/>
        <v>714452.30434782605</v>
      </c>
      <c r="L20" s="604">
        <f t="shared" si="1"/>
        <v>0</v>
      </c>
      <c r="M20" s="477">
        <f t="shared" si="2"/>
        <v>714452.30434782605</v>
      </c>
      <c r="N20" s="479">
        <f>IF(M20&lt;&gt;0,+H20-M20,0)</f>
        <v>0</v>
      </c>
      <c r="O20" s="476">
        <f>+N20-L20</f>
        <v>0</v>
      </c>
      <c r="P20" s="243"/>
    </row>
    <row r="21" spans="2:16" ht="12.5">
      <c r="B21" s="160" t="str">
        <f t="shared" si="3"/>
        <v/>
      </c>
      <c r="C21" s="473">
        <f>IF(D11="","-",+C20+1)</f>
        <v>2018</v>
      </c>
      <c r="D21" s="585">
        <v>4749844.8879598659</v>
      </c>
      <c r="E21" s="586">
        <v>112428.4</v>
      </c>
      <c r="F21" s="585">
        <v>4637416.4879598655</v>
      </c>
      <c r="G21" s="586">
        <v>740035.4</v>
      </c>
      <c r="H21" s="588">
        <v>740035.4</v>
      </c>
      <c r="I21" s="476">
        <f t="shared" si="4"/>
        <v>0</v>
      </c>
      <c r="J21" s="476"/>
      <c r="K21" s="477">
        <f t="shared" si="0"/>
        <v>740035.4</v>
      </c>
      <c r="L21" s="604">
        <f t="shared" si="1"/>
        <v>0</v>
      </c>
      <c r="M21" s="477">
        <f t="shared" si="2"/>
        <v>740035.4</v>
      </c>
      <c r="N21" s="479">
        <f>IF(M21&lt;&gt;0,+H21-M21,0)</f>
        <v>0</v>
      </c>
      <c r="O21" s="476">
        <f>+N21-L21</f>
        <v>0</v>
      </c>
      <c r="P21" s="243"/>
    </row>
    <row r="22" spans="2:16" ht="12.5">
      <c r="B22" s="160" t="str">
        <f t="shared" si="3"/>
        <v/>
      </c>
      <c r="C22" s="473">
        <f>IF(D11="","-",+C21+1)</f>
        <v>2019</v>
      </c>
      <c r="D22" s="585">
        <v>4637416.4879598655</v>
      </c>
      <c r="E22" s="586">
        <v>112428.4</v>
      </c>
      <c r="F22" s="585">
        <v>4524988.0879598651</v>
      </c>
      <c r="G22" s="586">
        <v>724819.4</v>
      </c>
      <c r="H22" s="588">
        <v>724819.4</v>
      </c>
      <c r="I22" s="476">
        <f t="shared" si="4"/>
        <v>0</v>
      </c>
      <c r="J22" s="476"/>
      <c r="K22" s="477">
        <f t="shared" si="0"/>
        <v>724819.4</v>
      </c>
      <c r="L22" s="604">
        <f t="shared" si="1"/>
        <v>0</v>
      </c>
      <c r="M22" s="477">
        <f t="shared" si="2"/>
        <v>724819.4</v>
      </c>
      <c r="N22" s="479">
        <f t="shared" ref="N22:N72" si="5">IF(M22&lt;&gt;0,+H22-M22,0)</f>
        <v>0</v>
      </c>
      <c r="O22" s="479">
        <f t="shared" ref="O22:O72" si="6">+N22-L22</f>
        <v>0</v>
      </c>
      <c r="P22" s="243"/>
    </row>
    <row r="23" spans="2:16" ht="12.5">
      <c r="B23" s="160" t="str">
        <f t="shared" si="3"/>
        <v/>
      </c>
      <c r="C23" s="473">
        <f>IF(D11="","-",+C22+1)</f>
        <v>2020</v>
      </c>
      <c r="D23" s="585">
        <v>4524988.0879598651</v>
      </c>
      <c r="E23" s="586">
        <v>120459</v>
      </c>
      <c r="F23" s="585">
        <v>4404529.0879598651</v>
      </c>
      <c r="G23" s="586">
        <v>602674.25524940272</v>
      </c>
      <c r="H23" s="588">
        <v>602674.25524940272</v>
      </c>
      <c r="I23" s="476">
        <f t="shared" si="4"/>
        <v>0</v>
      </c>
      <c r="J23" s="476"/>
      <c r="K23" s="477">
        <f t="shared" ref="K23" si="7">G23</f>
        <v>602674.25524940272</v>
      </c>
      <c r="L23" s="604">
        <f t="shared" ref="L23" si="8">IF(K23&lt;&gt;0,+G23-K23,0)</f>
        <v>0</v>
      </c>
      <c r="M23" s="477">
        <f t="shared" ref="M23" si="9">H23</f>
        <v>602674.25524940272</v>
      </c>
      <c r="N23" s="479">
        <f t="shared" si="5"/>
        <v>0</v>
      </c>
      <c r="O23" s="479">
        <f t="shared" si="6"/>
        <v>0</v>
      </c>
      <c r="P23" s="243"/>
    </row>
    <row r="24" spans="2:16" ht="12.5">
      <c r="B24" s="160" t="str">
        <f t="shared" si="3"/>
        <v/>
      </c>
      <c r="C24" s="473">
        <f>IF(D11="","-",+C23+1)</f>
        <v>2021</v>
      </c>
      <c r="D24" s="486">
        <f>IF(F23+SUM(E$17:E23)=D$10,F23,D$10-SUM(E$17:E23))</f>
        <v>4404529.0879598651</v>
      </c>
      <c r="E24" s="485">
        <f t="shared" ref="E24:E72" si="10">IF(+$I$14&lt;F23,$I$14,D24)</f>
        <v>117657.62790697675</v>
      </c>
      <c r="F24" s="486">
        <f t="shared" ref="F24:F72" si="11">+D24-E24</f>
        <v>4286871.4600528879</v>
      </c>
      <c r="G24" s="487">
        <f t="shared" ref="G24:G72" si="12">(D24+F24)/2*I$12+E24</f>
        <v>617657.97555870377</v>
      </c>
      <c r="H24" s="456">
        <f t="shared" ref="H24:H72" si="13">+(D24+F24)/2*I$13+E24</f>
        <v>617657.97555870377</v>
      </c>
      <c r="I24" s="476">
        <f t="shared" si="4"/>
        <v>0</v>
      </c>
      <c r="J24" s="476"/>
      <c r="K24" s="488"/>
      <c r="L24" s="479">
        <f t="shared" ref="L24:L72" si="14">IF(K24&lt;&gt;0,+G24-K24,0)</f>
        <v>0</v>
      </c>
      <c r="M24" s="488"/>
      <c r="N24" s="479">
        <f t="shared" si="5"/>
        <v>0</v>
      </c>
      <c r="O24" s="479">
        <f t="shared" si="6"/>
        <v>0</v>
      </c>
      <c r="P24" s="243"/>
    </row>
    <row r="25" spans="2:16" ht="12.5">
      <c r="B25" s="160" t="str">
        <f t="shared" si="3"/>
        <v/>
      </c>
      <c r="C25" s="473">
        <f>IF(D11="","-",+C24+1)</f>
        <v>2022</v>
      </c>
      <c r="D25" s="486">
        <f>IF(F24+SUM(E$17:E24)=D$10,F24,D$10-SUM(E$17:E24))</f>
        <v>4286871.4600528879</v>
      </c>
      <c r="E25" s="485">
        <f t="shared" si="10"/>
        <v>117657.62790697675</v>
      </c>
      <c r="F25" s="486">
        <f t="shared" si="11"/>
        <v>4169213.8321459112</v>
      </c>
      <c r="G25" s="487">
        <f t="shared" si="12"/>
        <v>604120.72007671674</v>
      </c>
      <c r="H25" s="456">
        <f t="shared" si="13"/>
        <v>604120.72007671674</v>
      </c>
      <c r="I25" s="476">
        <f t="shared" si="4"/>
        <v>0</v>
      </c>
      <c r="J25" s="476"/>
      <c r="K25" s="488"/>
      <c r="L25" s="479">
        <f t="shared" si="14"/>
        <v>0</v>
      </c>
      <c r="M25" s="488"/>
      <c r="N25" s="479">
        <f t="shared" si="5"/>
        <v>0</v>
      </c>
      <c r="O25" s="479">
        <f t="shared" si="6"/>
        <v>0</v>
      </c>
      <c r="P25" s="243"/>
    </row>
    <row r="26" spans="2:16" ht="12.5">
      <c r="B26" s="160" t="str">
        <f t="shared" si="3"/>
        <v/>
      </c>
      <c r="C26" s="473">
        <f>IF(D11="","-",+C25+1)</f>
        <v>2023</v>
      </c>
      <c r="D26" s="486">
        <f>IF(F25+SUM(E$17:E25)=D$10,F25,D$10-SUM(E$17:E25))</f>
        <v>4169213.8321459112</v>
      </c>
      <c r="E26" s="485">
        <f t="shared" si="10"/>
        <v>117657.62790697675</v>
      </c>
      <c r="F26" s="486">
        <f t="shared" si="11"/>
        <v>4051556.2042389344</v>
      </c>
      <c r="G26" s="487">
        <f t="shared" si="12"/>
        <v>590583.46459472948</v>
      </c>
      <c r="H26" s="456">
        <f t="shared" si="13"/>
        <v>590583.46459472948</v>
      </c>
      <c r="I26" s="476">
        <f t="shared" si="4"/>
        <v>0</v>
      </c>
      <c r="J26" s="476"/>
      <c r="K26" s="488"/>
      <c r="L26" s="479">
        <f t="shared" si="14"/>
        <v>0</v>
      </c>
      <c r="M26" s="488"/>
      <c r="N26" s="479">
        <f t="shared" si="5"/>
        <v>0</v>
      </c>
      <c r="O26" s="479">
        <f t="shared" si="6"/>
        <v>0</v>
      </c>
      <c r="P26" s="243"/>
    </row>
    <row r="27" spans="2:16" ht="12.5">
      <c r="B27" s="160" t="str">
        <f t="shared" si="3"/>
        <v/>
      </c>
      <c r="C27" s="473">
        <f>IF(D11="","-",+C26+1)</f>
        <v>2024</v>
      </c>
      <c r="D27" s="486">
        <f>IF(F26+SUM(E$17:E26)=D$10,F26,D$10-SUM(E$17:E26))</f>
        <v>4051556.2042389344</v>
      </c>
      <c r="E27" s="485">
        <f t="shared" si="10"/>
        <v>117657.62790697675</v>
      </c>
      <c r="F27" s="486">
        <f t="shared" si="11"/>
        <v>3933898.5763319577</v>
      </c>
      <c r="G27" s="487">
        <f t="shared" si="12"/>
        <v>577046.20911274233</v>
      </c>
      <c r="H27" s="456">
        <f t="shared" si="13"/>
        <v>577046.20911274233</v>
      </c>
      <c r="I27" s="476">
        <f t="shared" si="4"/>
        <v>0</v>
      </c>
      <c r="J27" s="476"/>
      <c r="K27" s="488"/>
      <c r="L27" s="479">
        <f t="shared" si="14"/>
        <v>0</v>
      </c>
      <c r="M27" s="488"/>
      <c r="N27" s="479">
        <f t="shared" si="5"/>
        <v>0</v>
      </c>
      <c r="O27" s="479">
        <f t="shared" si="6"/>
        <v>0</v>
      </c>
      <c r="P27" s="243"/>
    </row>
    <row r="28" spans="2:16" ht="12.5">
      <c r="B28" s="160" t="str">
        <f t="shared" si="3"/>
        <v/>
      </c>
      <c r="C28" s="473">
        <f>IF(D11="","-",+C27+1)</f>
        <v>2025</v>
      </c>
      <c r="D28" s="486">
        <f>IF(F27+SUM(E$17:E27)=D$10,F27,D$10-SUM(E$17:E27))</f>
        <v>3933898.5763319577</v>
      </c>
      <c r="E28" s="485">
        <f t="shared" si="10"/>
        <v>117657.62790697675</v>
      </c>
      <c r="F28" s="486">
        <f t="shared" si="11"/>
        <v>3816240.948424981</v>
      </c>
      <c r="G28" s="487">
        <f t="shared" si="12"/>
        <v>563508.95363075519</v>
      </c>
      <c r="H28" s="456">
        <f t="shared" si="13"/>
        <v>563508.95363075519</v>
      </c>
      <c r="I28" s="476">
        <f t="shared" si="4"/>
        <v>0</v>
      </c>
      <c r="J28" s="476"/>
      <c r="K28" s="488"/>
      <c r="L28" s="479">
        <f t="shared" si="14"/>
        <v>0</v>
      </c>
      <c r="M28" s="488"/>
      <c r="N28" s="479">
        <f t="shared" si="5"/>
        <v>0</v>
      </c>
      <c r="O28" s="479">
        <f t="shared" si="6"/>
        <v>0</v>
      </c>
      <c r="P28" s="243"/>
    </row>
    <row r="29" spans="2:16" ht="12.5">
      <c r="B29" s="160" t="str">
        <f t="shared" si="3"/>
        <v/>
      </c>
      <c r="C29" s="473">
        <f>IF(D11="","-",+C28+1)</f>
        <v>2026</v>
      </c>
      <c r="D29" s="486">
        <f>IF(F28+SUM(E$17:E28)=D$10,F28,D$10-SUM(E$17:E28))</f>
        <v>3816240.948424981</v>
      </c>
      <c r="E29" s="485">
        <f t="shared" si="10"/>
        <v>117657.62790697675</v>
      </c>
      <c r="F29" s="486">
        <f t="shared" si="11"/>
        <v>3698583.3205180042</v>
      </c>
      <c r="G29" s="487">
        <f t="shared" si="12"/>
        <v>549971.69814876805</v>
      </c>
      <c r="H29" s="456">
        <f t="shared" si="13"/>
        <v>549971.69814876805</v>
      </c>
      <c r="I29" s="476">
        <f t="shared" si="4"/>
        <v>0</v>
      </c>
      <c r="J29" s="476"/>
      <c r="K29" s="488"/>
      <c r="L29" s="479">
        <f t="shared" si="14"/>
        <v>0</v>
      </c>
      <c r="M29" s="488"/>
      <c r="N29" s="479">
        <f t="shared" si="5"/>
        <v>0</v>
      </c>
      <c r="O29" s="479">
        <f t="shared" si="6"/>
        <v>0</v>
      </c>
      <c r="P29" s="243"/>
    </row>
    <row r="30" spans="2:16" ht="12.5">
      <c r="B30" s="160" t="str">
        <f t="shared" si="3"/>
        <v/>
      </c>
      <c r="C30" s="473">
        <f>IF(D11="","-",+C29+1)</f>
        <v>2027</v>
      </c>
      <c r="D30" s="486">
        <f>IF(F29+SUM(E$17:E29)=D$10,F29,D$10-SUM(E$17:E29))</f>
        <v>3698583.3205180042</v>
      </c>
      <c r="E30" s="485">
        <f t="shared" si="10"/>
        <v>117657.62790697675</v>
      </c>
      <c r="F30" s="486">
        <f t="shared" si="11"/>
        <v>3580925.6926110275</v>
      </c>
      <c r="G30" s="487">
        <f t="shared" si="12"/>
        <v>536434.4426667809</v>
      </c>
      <c r="H30" s="456">
        <f t="shared" si="13"/>
        <v>536434.4426667809</v>
      </c>
      <c r="I30" s="476">
        <f t="shared" si="4"/>
        <v>0</v>
      </c>
      <c r="J30" s="476"/>
      <c r="K30" s="488"/>
      <c r="L30" s="479">
        <f t="shared" si="14"/>
        <v>0</v>
      </c>
      <c r="M30" s="488"/>
      <c r="N30" s="479">
        <f t="shared" si="5"/>
        <v>0</v>
      </c>
      <c r="O30" s="479">
        <f t="shared" si="6"/>
        <v>0</v>
      </c>
      <c r="P30" s="243"/>
    </row>
    <row r="31" spans="2:16" ht="12.5">
      <c r="B31" s="160" t="str">
        <f t="shared" si="3"/>
        <v/>
      </c>
      <c r="C31" s="473">
        <f>IF(D11="","-",+C30+1)</f>
        <v>2028</v>
      </c>
      <c r="D31" s="486">
        <f>IF(F30+SUM(E$17:E30)=D$10,F30,D$10-SUM(E$17:E30))</f>
        <v>3580925.6926110275</v>
      </c>
      <c r="E31" s="485">
        <f t="shared" si="10"/>
        <v>117657.62790697675</v>
      </c>
      <c r="F31" s="486">
        <f t="shared" si="11"/>
        <v>3463268.0647040508</v>
      </c>
      <c r="G31" s="487">
        <f t="shared" si="12"/>
        <v>522897.1871847937</v>
      </c>
      <c r="H31" s="456">
        <f t="shared" si="13"/>
        <v>522897.1871847937</v>
      </c>
      <c r="I31" s="476">
        <f t="shared" si="4"/>
        <v>0</v>
      </c>
      <c r="J31" s="476"/>
      <c r="K31" s="488"/>
      <c r="L31" s="479">
        <f t="shared" si="14"/>
        <v>0</v>
      </c>
      <c r="M31" s="488"/>
      <c r="N31" s="479">
        <f t="shared" si="5"/>
        <v>0</v>
      </c>
      <c r="O31" s="479">
        <f t="shared" si="6"/>
        <v>0</v>
      </c>
      <c r="P31" s="243"/>
    </row>
    <row r="32" spans="2:16" ht="12.5">
      <c r="B32" s="160" t="str">
        <f t="shared" si="3"/>
        <v/>
      </c>
      <c r="C32" s="473">
        <f>IF(D11="","-",+C31+1)</f>
        <v>2029</v>
      </c>
      <c r="D32" s="486">
        <f>IF(F31+SUM(E$17:E31)=D$10,F31,D$10-SUM(E$17:E31))</f>
        <v>3463268.0647040508</v>
      </c>
      <c r="E32" s="485">
        <f t="shared" si="10"/>
        <v>117657.62790697675</v>
      </c>
      <c r="F32" s="486">
        <f t="shared" si="11"/>
        <v>3345610.436797074</v>
      </c>
      <c r="G32" s="487">
        <f t="shared" si="12"/>
        <v>509359.9317028065</v>
      </c>
      <c r="H32" s="456">
        <f t="shared" si="13"/>
        <v>509359.9317028065</v>
      </c>
      <c r="I32" s="476">
        <f t="shared" si="4"/>
        <v>0</v>
      </c>
      <c r="J32" s="476"/>
      <c r="K32" s="488"/>
      <c r="L32" s="479">
        <f t="shared" si="14"/>
        <v>0</v>
      </c>
      <c r="M32" s="488"/>
      <c r="N32" s="479">
        <f t="shared" si="5"/>
        <v>0</v>
      </c>
      <c r="O32" s="479">
        <f t="shared" si="6"/>
        <v>0</v>
      </c>
      <c r="P32" s="243"/>
    </row>
    <row r="33" spans="2:16" ht="12.5">
      <c r="B33" s="160" t="str">
        <f t="shared" si="3"/>
        <v/>
      </c>
      <c r="C33" s="473">
        <f>IF(D11="","-",+C32+1)</f>
        <v>2030</v>
      </c>
      <c r="D33" s="486">
        <f>IF(F32+SUM(E$17:E32)=D$10,F32,D$10-SUM(E$17:E32))</f>
        <v>3345610.436797074</v>
      </c>
      <c r="E33" s="485">
        <f t="shared" si="10"/>
        <v>117657.62790697675</v>
      </c>
      <c r="F33" s="486">
        <f t="shared" si="11"/>
        <v>3227952.8088900973</v>
      </c>
      <c r="G33" s="487">
        <f t="shared" si="12"/>
        <v>495822.67622081941</v>
      </c>
      <c r="H33" s="456">
        <f t="shared" si="13"/>
        <v>495822.67622081941</v>
      </c>
      <c r="I33" s="476">
        <f t="shared" si="4"/>
        <v>0</v>
      </c>
      <c r="J33" s="476"/>
      <c r="K33" s="488"/>
      <c r="L33" s="479">
        <f t="shared" si="14"/>
        <v>0</v>
      </c>
      <c r="M33" s="488"/>
      <c r="N33" s="479">
        <f t="shared" si="5"/>
        <v>0</v>
      </c>
      <c r="O33" s="479">
        <f t="shared" si="6"/>
        <v>0</v>
      </c>
      <c r="P33" s="243"/>
    </row>
    <row r="34" spans="2:16" ht="12.5">
      <c r="B34" s="160" t="str">
        <f t="shared" si="3"/>
        <v/>
      </c>
      <c r="C34" s="473">
        <f>IF(D11="","-",+C33+1)</f>
        <v>2031</v>
      </c>
      <c r="D34" s="486">
        <f>IF(F33+SUM(E$17:E33)=D$10,F33,D$10-SUM(E$17:E33))</f>
        <v>3227952.8088900973</v>
      </c>
      <c r="E34" s="485">
        <f t="shared" si="10"/>
        <v>117657.62790697675</v>
      </c>
      <c r="F34" s="486">
        <f t="shared" si="11"/>
        <v>3110295.1809831206</v>
      </c>
      <c r="G34" s="487">
        <f t="shared" si="12"/>
        <v>482285.42073883221</v>
      </c>
      <c r="H34" s="456">
        <f t="shared" si="13"/>
        <v>482285.42073883221</v>
      </c>
      <c r="I34" s="476">
        <f t="shared" si="4"/>
        <v>0</v>
      </c>
      <c r="J34" s="476"/>
      <c r="K34" s="488"/>
      <c r="L34" s="479">
        <f t="shared" si="14"/>
        <v>0</v>
      </c>
      <c r="M34" s="488"/>
      <c r="N34" s="479">
        <f t="shared" si="5"/>
        <v>0</v>
      </c>
      <c r="O34" s="479">
        <f t="shared" si="6"/>
        <v>0</v>
      </c>
      <c r="P34" s="243"/>
    </row>
    <row r="35" spans="2:16" ht="12.5">
      <c r="B35" s="160" t="str">
        <f t="shared" si="3"/>
        <v/>
      </c>
      <c r="C35" s="473">
        <f>IF(D11="","-",+C34+1)</f>
        <v>2032</v>
      </c>
      <c r="D35" s="486">
        <f>IF(F34+SUM(E$17:E34)=D$10,F34,D$10-SUM(E$17:E34))</f>
        <v>3110295.1809831206</v>
      </c>
      <c r="E35" s="485">
        <f t="shared" si="10"/>
        <v>117657.62790697675</v>
      </c>
      <c r="F35" s="486">
        <f t="shared" si="11"/>
        <v>2992637.5530761438</v>
      </c>
      <c r="G35" s="487">
        <f t="shared" si="12"/>
        <v>468748.16525684507</v>
      </c>
      <c r="H35" s="456">
        <f t="shared" si="13"/>
        <v>468748.16525684507</v>
      </c>
      <c r="I35" s="476">
        <f t="shared" si="4"/>
        <v>0</v>
      </c>
      <c r="J35" s="476"/>
      <c r="K35" s="488"/>
      <c r="L35" s="479">
        <f t="shared" si="14"/>
        <v>0</v>
      </c>
      <c r="M35" s="488"/>
      <c r="N35" s="479">
        <f t="shared" si="5"/>
        <v>0</v>
      </c>
      <c r="O35" s="479">
        <f t="shared" si="6"/>
        <v>0</v>
      </c>
      <c r="P35" s="243"/>
    </row>
    <row r="36" spans="2:16" ht="12.5">
      <c r="B36" s="160" t="str">
        <f t="shared" si="3"/>
        <v/>
      </c>
      <c r="C36" s="473">
        <f>IF(D11="","-",+C35+1)</f>
        <v>2033</v>
      </c>
      <c r="D36" s="486">
        <f>IF(F35+SUM(E$17:E35)=D$10,F35,D$10-SUM(E$17:E35))</f>
        <v>2992637.5530761438</v>
      </c>
      <c r="E36" s="485">
        <f t="shared" si="10"/>
        <v>117657.62790697675</v>
      </c>
      <c r="F36" s="486">
        <f t="shared" si="11"/>
        <v>2874979.9251691671</v>
      </c>
      <c r="G36" s="487">
        <f t="shared" si="12"/>
        <v>455210.90977485786</v>
      </c>
      <c r="H36" s="456">
        <f t="shared" si="13"/>
        <v>455210.90977485786</v>
      </c>
      <c r="I36" s="476">
        <f t="shared" si="4"/>
        <v>0</v>
      </c>
      <c r="J36" s="476"/>
      <c r="K36" s="488"/>
      <c r="L36" s="479">
        <f t="shared" si="14"/>
        <v>0</v>
      </c>
      <c r="M36" s="488"/>
      <c r="N36" s="479">
        <f t="shared" si="5"/>
        <v>0</v>
      </c>
      <c r="O36" s="479">
        <f t="shared" si="6"/>
        <v>0</v>
      </c>
      <c r="P36" s="243"/>
    </row>
    <row r="37" spans="2:16" ht="12.5">
      <c r="B37" s="160" t="str">
        <f t="shared" si="3"/>
        <v/>
      </c>
      <c r="C37" s="473">
        <f>IF(D11="","-",+C36+1)</f>
        <v>2034</v>
      </c>
      <c r="D37" s="486">
        <f>IF(F36+SUM(E$17:E36)=D$10,F36,D$10-SUM(E$17:E36))</f>
        <v>2874979.9251691671</v>
      </c>
      <c r="E37" s="485">
        <f t="shared" si="10"/>
        <v>117657.62790697675</v>
      </c>
      <c r="F37" s="486">
        <f t="shared" si="11"/>
        <v>2757322.2972621904</v>
      </c>
      <c r="G37" s="487">
        <f t="shared" si="12"/>
        <v>441673.65429287078</v>
      </c>
      <c r="H37" s="456">
        <f t="shared" si="13"/>
        <v>441673.65429287078</v>
      </c>
      <c r="I37" s="476">
        <f t="shared" si="4"/>
        <v>0</v>
      </c>
      <c r="J37" s="476"/>
      <c r="K37" s="488"/>
      <c r="L37" s="479">
        <f t="shared" si="14"/>
        <v>0</v>
      </c>
      <c r="M37" s="488"/>
      <c r="N37" s="479">
        <f t="shared" si="5"/>
        <v>0</v>
      </c>
      <c r="O37" s="479">
        <f t="shared" si="6"/>
        <v>0</v>
      </c>
      <c r="P37" s="243"/>
    </row>
    <row r="38" spans="2:16" ht="12.5">
      <c r="B38" s="160" t="str">
        <f t="shared" si="3"/>
        <v/>
      </c>
      <c r="C38" s="473">
        <f>IF(D11="","-",+C37+1)</f>
        <v>2035</v>
      </c>
      <c r="D38" s="486">
        <f>IF(F37+SUM(E$17:E37)=D$10,F37,D$10-SUM(E$17:E37))</f>
        <v>2757322.2972621904</v>
      </c>
      <c r="E38" s="485">
        <f t="shared" si="10"/>
        <v>117657.62790697675</v>
      </c>
      <c r="F38" s="486">
        <f t="shared" si="11"/>
        <v>2639664.6693552136</v>
      </c>
      <c r="G38" s="487">
        <f t="shared" si="12"/>
        <v>428136.39881088358</v>
      </c>
      <c r="H38" s="456">
        <f t="shared" si="13"/>
        <v>428136.39881088358</v>
      </c>
      <c r="I38" s="476">
        <f t="shared" si="4"/>
        <v>0</v>
      </c>
      <c r="J38" s="476"/>
      <c r="K38" s="488"/>
      <c r="L38" s="479">
        <f t="shared" si="14"/>
        <v>0</v>
      </c>
      <c r="M38" s="488"/>
      <c r="N38" s="479">
        <f t="shared" si="5"/>
        <v>0</v>
      </c>
      <c r="O38" s="479">
        <f t="shared" si="6"/>
        <v>0</v>
      </c>
      <c r="P38" s="243"/>
    </row>
    <row r="39" spans="2:16" ht="12.5">
      <c r="B39" s="160" t="str">
        <f t="shared" si="3"/>
        <v/>
      </c>
      <c r="C39" s="473">
        <f>IF(D11="","-",+C38+1)</f>
        <v>2036</v>
      </c>
      <c r="D39" s="486">
        <f>IF(F38+SUM(E$17:E38)=D$10,F38,D$10-SUM(E$17:E38))</f>
        <v>2639664.6693552136</v>
      </c>
      <c r="E39" s="485">
        <f t="shared" si="10"/>
        <v>117657.62790697675</v>
      </c>
      <c r="F39" s="486">
        <f t="shared" si="11"/>
        <v>2522007.0414482369</v>
      </c>
      <c r="G39" s="487">
        <f t="shared" si="12"/>
        <v>414599.14332889643</v>
      </c>
      <c r="H39" s="456">
        <f t="shared" si="13"/>
        <v>414599.14332889643</v>
      </c>
      <c r="I39" s="476">
        <f t="shared" si="4"/>
        <v>0</v>
      </c>
      <c r="J39" s="476"/>
      <c r="K39" s="488"/>
      <c r="L39" s="479">
        <f t="shared" si="14"/>
        <v>0</v>
      </c>
      <c r="M39" s="488"/>
      <c r="N39" s="479">
        <f t="shared" si="5"/>
        <v>0</v>
      </c>
      <c r="O39" s="479">
        <f t="shared" si="6"/>
        <v>0</v>
      </c>
      <c r="P39" s="243"/>
    </row>
    <row r="40" spans="2:16" ht="12.5">
      <c r="B40" s="160" t="str">
        <f t="shared" si="3"/>
        <v/>
      </c>
      <c r="C40" s="473">
        <f>IF(D11="","-",+C39+1)</f>
        <v>2037</v>
      </c>
      <c r="D40" s="486">
        <f>IF(F39+SUM(E$17:E39)=D$10,F39,D$10-SUM(E$17:E39))</f>
        <v>2522007.0414482369</v>
      </c>
      <c r="E40" s="485">
        <f t="shared" si="10"/>
        <v>117657.62790697675</v>
      </c>
      <c r="F40" s="486">
        <f t="shared" si="11"/>
        <v>2404349.4135412602</v>
      </c>
      <c r="G40" s="487">
        <f t="shared" si="12"/>
        <v>401061.88784690923</v>
      </c>
      <c r="H40" s="456">
        <f t="shared" si="13"/>
        <v>401061.88784690923</v>
      </c>
      <c r="I40" s="476">
        <f t="shared" si="4"/>
        <v>0</v>
      </c>
      <c r="J40" s="476"/>
      <c r="K40" s="488"/>
      <c r="L40" s="479">
        <f t="shared" si="14"/>
        <v>0</v>
      </c>
      <c r="M40" s="488"/>
      <c r="N40" s="479">
        <f t="shared" si="5"/>
        <v>0</v>
      </c>
      <c r="O40" s="479">
        <f t="shared" si="6"/>
        <v>0</v>
      </c>
      <c r="P40" s="243"/>
    </row>
    <row r="41" spans="2:16" ht="12.5">
      <c r="B41" s="160" t="str">
        <f t="shared" si="3"/>
        <v/>
      </c>
      <c r="C41" s="473">
        <f>IF(D11="","-",+C40+1)</f>
        <v>2038</v>
      </c>
      <c r="D41" s="486">
        <f>IF(F40+SUM(E$17:E40)=D$10,F40,D$10-SUM(E$17:E40))</f>
        <v>2404349.4135412602</v>
      </c>
      <c r="E41" s="485">
        <f t="shared" si="10"/>
        <v>117657.62790697675</v>
      </c>
      <c r="F41" s="486">
        <f t="shared" si="11"/>
        <v>2286691.7856342834</v>
      </c>
      <c r="G41" s="487">
        <f t="shared" si="12"/>
        <v>387524.63236492214</v>
      </c>
      <c r="H41" s="456">
        <f t="shared" si="13"/>
        <v>387524.63236492214</v>
      </c>
      <c r="I41" s="476">
        <f t="shared" si="4"/>
        <v>0</v>
      </c>
      <c r="J41" s="476"/>
      <c r="K41" s="488"/>
      <c r="L41" s="479">
        <f t="shared" si="14"/>
        <v>0</v>
      </c>
      <c r="M41" s="488"/>
      <c r="N41" s="479">
        <f t="shared" si="5"/>
        <v>0</v>
      </c>
      <c r="O41" s="479">
        <f t="shared" si="6"/>
        <v>0</v>
      </c>
      <c r="P41" s="243"/>
    </row>
    <row r="42" spans="2:16" ht="12.5">
      <c r="B42" s="160" t="str">
        <f t="shared" si="3"/>
        <v/>
      </c>
      <c r="C42" s="473">
        <f>IF(D11="","-",+C41+1)</f>
        <v>2039</v>
      </c>
      <c r="D42" s="486">
        <f>IF(F41+SUM(E$17:E41)=D$10,F41,D$10-SUM(E$17:E41))</f>
        <v>2286691.7856342834</v>
      </c>
      <c r="E42" s="485">
        <f t="shared" si="10"/>
        <v>117657.62790697675</v>
      </c>
      <c r="F42" s="486">
        <f t="shared" si="11"/>
        <v>2169034.1577273067</v>
      </c>
      <c r="G42" s="487">
        <f t="shared" si="12"/>
        <v>373987.37688293494</v>
      </c>
      <c r="H42" s="456">
        <f t="shared" si="13"/>
        <v>373987.37688293494</v>
      </c>
      <c r="I42" s="476">
        <f t="shared" si="4"/>
        <v>0</v>
      </c>
      <c r="J42" s="476"/>
      <c r="K42" s="488"/>
      <c r="L42" s="479">
        <f t="shared" si="14"/>
        <v>0</v>
      </c>
      <c r="M42" s="488"/>
      <c r="N42" s="479">
        <f t="shared" si="5"/>
        <v>0</v>
      </c>
      <c r="O42" s="479">
        <f t="shared" si="6"/>
        <v>0</v>
      </c>
      <c r="P42" s="243"/>
    </row>
    <row r="43" spans="2:16" ht="12.5">
      <c r="B43" s="160" t="str">
        <f t="shared" si="3"/>
        <v/>
      </c>
      <c r="C43" s="473">
        <f>IF(D11="","-",+C42+1)</f>
        <v>2040</v>
      </c>
      <c r="D43" s="486">
        <f>IF(F42+SUM(E$17:E42)=D$10,F42,D$10-SUM(E$17:E42))</f>
        <v>2169034.1577273067</v>
      </c>
      <c r="E43" s="485">
        <f t="shared" si="10"/>
        <v>117657.62790697675</v>
      </c>
      <c r="F43" s="486">
        <f t="shared" si="11"/>
        <v>2051376.52982033</v>
      </c>
      <c r="G43" s="487">
        <f t="shared" si="12"/>
        <v>360450.12140094786</v>
      </c>
      <c r="H43" s="456">
        <f t="shared" si="13"/>
        <v>360450.12140094786</v>
      </c>
      <c r="I43" s="476">
        <f t="shared" si="4"/>
        <v>0</v>
      </c>
      <c r="J43" s="476"/>
      <c r="K43" s="488"/>
      <c r="L43" s="479">
        <f t="shared" si="14"/>
        <v>0</v>
      </c>
      <c r="M43" s="488"/>
      <c r="N43" s="479">
        <f t="shared" si="5"/>
        <v>0</v>
      </c>
      <c r="O43" s="479">
        <f t="shared" si="6"/>
        <v>0</v>
      </c>
      <c r="P43" s="243"/>
    </row>
    <row r="44" spans="2:16" ht="12.5">
      <c r="B44" s="160" t="str">
        <f t="shared" si="3"/>
        <v/>
      </c>
      <c r="C44" s="473">
        <f>IF(D11="","-",+C43+1)</f>
        <v>2041</v>
      </c>
      <c r="D44" s="486">
        <f>IF(F43+SUM(E$17:E43)=D$10,F43,D$10-SUM(E$17:E43))</f>
        <v>2051376.52982033</v>
      </c>
      <c r="E44" s="485">
        <f t="shared" si="10"/>
        <v>117657.62790697675</v>
      </c>
      <c r="F44" s="486">
        <f t="shared" si="11"/>
        <v>1933718.9019133532</v>
      </c>
      <c r="G44" s="487">
        <f t="shared" si="12"/>
        <v>346912.86591896066</v>
      </c>
      <c r="H44" s="456">
        <f t="shared" si="13"/>
        <v>346912.86591896066</v>
      </c>
      <c r="I44" s="476">
        <f t="shared" si="4"/>
        <v>0</v>
      </c>
      <c r="J44" s="476"/>
      <c r="K44" s="488"/>
      <c r="L44" s="479">
        <f t="shared" si="14"/>
        <v>0</v>
      </c>
      <c r="M44" s="488"/>
      <c r="N44" s="479">
        <f t="shared" si="5"/>
        <v>0</v>
      </c>
      <c r="O44" s="479">
        <f t="shared" si="6"/>
        <v>0</v>
      </c>
      <c r="P44" s="243"/>
    </row>
    <row r="45" spans="2:16" ht="12.5">
      <c r="B45" s="160" t="str">
        <f t="shared" si="3"/>
        <v/>
      </c>
      <c r="C45" s="473">
        <f>IF(D11="","-",+C44+1)</f>
        <v>2042</v>
      </c>
      <c r="D45" s="486">
        <f>IF(F44+SUM(E$17:E44)=D$10,F44,D$10-SUM(E$17:E44))</f>
        <v>1933718.9019133532</v>
      </c>
      <c r="E45" s="485">
        <f t="shared" si="10"/>
        <v>117657.62790697675</v>
      </c>
      <c r="F45" s="486">
        <f t="shared" si="11"/>
        <v>1816061.2740063765</v>
      </c>
      <c r="G45" s="487">
        <f t="shared" si="12"/>
        <v>333375.61043697351</v>
      </c>
      <c r="H45" s="456">
        <f t="shared" si="13"/>
        <v>333375.61043697351</v>
      </c>
      <c r="I45" s="476">
        <f t="shared" si="4"/>
        <v>0</v>
      </c>
      <c r="J45" s="476"/>
      <c r="K45" s="488"/>
      <c r="L45" s="479">
        <f t="shared" si="14"/>
        <v>0</v>
      </c>
      <c r="M45" s="488"/>
      <c r="N45" s="479">
        <f t="shared" si="5"/>
        <v>0</v>
      </c>
      <c r="O45" s="479">
        <f t="shared" si="6"/>
        <v>0</v>
      </c>
      <c r="P45" s="243"/>
    </row>
    <row r="46" spans="2:16" ht="12.5">
      <c r="B46" s="160" t="str">
        <f t="shared" si="3"/>
        <v/>
      </c>
      <c r="C46" s="473">
        <f>IF(D11="","-",+C45+1)</f>
        <v>2043</v>
      </c>
      <c r="D46" s="486">
        <f>IF(F45+SUM(E$17:E45)=D$10,F45,D$10-SUM(E$17:E45))</f>
        <v>1816061.2740063765</v>
      </c>
      <c r="E46" s="485">
        <f t="shared" si="10"/>
        <v>117657.62790697675</v>
      </c>
      <c r="F46" s="486">
        <f t="shared" si="11"/>
        <v>1698403.6460993998</v>
      </c>
      <c r="G46" s="487">
        <f t="shared" si="12"/>
        <v>319838.35495498637</v>
      </c>
      <c r="H46" s="456">
        <f t="shared" si="13"/>
        <v>319838.35495498637</v>
      </c>
      <c r="I46" s="476">
        <f t="shared" si="4"/>
        <v>0</v>
      </c>
      <c r="J46" s="476"/>
      <c r="K46" s="488"/>
      <c r="L46" s="479">
        <f t="shared" si="14"/>
        <v>0</v>
      </c>
      <c r="M46" s="488"/>
      <c r="N46" s="479">
        <f t="shared" si="5"/>
        <v>0</v>
      </c>
      <c r="O46" s="479">
        <f t="shared" si="6"/>
        <v>0</v>
      </c>
      <c r="P46" s="243"/>
    </row>
    <row r="47" spans="2:16" ht="12.5">
      <c r="B47" s="160" t="str">
        <f t="shared" si="3"/>
        <v/>
      </c>
      <c r="C47" s="473">
        <f>IF(D11="","-",+C46+1)</f>
        <v>2044</v>
      </c>
      <c r="D47" s="486">
        <f>IF(F46+SUM(E$17:E46)=D$10,F46,D$10-SUM(E$17:E46))</f>
        <v>1698403.6460993998</v>
      </c>
      <c r="E47" s="485">
        <f t="shared" si="10"/>
        <v>117657.62790697675</v>
      </c>
      <c r="F47" s="486">
        <f t="shared" si="11"/>
        <v>1580746.018192423</v>
      </c>
      <c r="G47" s="487">
        <f t="shared" si="12"/>
        <v>306301.09947299917</v>
      </c>
      <c r="H47" s="456">
        <f t="shared" si="13"/>
        <v>306301.09947299917</v>
      </c>
      <c r="I47" s="476">
        <f t="shared" si="4"/>
        <v>0</v>
      </c>
      <c r="J47" s="476"/>
      <c r="K47" s="488"/>
      <c r="L47" s="479">
        <f t="shared" si="14"/>
        <v>0</v>
      </c>
      <c r="M47" s="488"/>
      <c r="N47" s="479">
        <f t="shared" si="5"/>
        <v>0</v>
      </c>
      <c r="O47" s="479">
        <f t="shared" si="6"/>
        <v>0</v>
      </c>
      <c r="P47" s="243"/>
    </row>
    <row r="48" spans="2:16" ht="12.5">
      <c r="B48" s="160" t="str">
        <f t="shared" si="3"/>
        <v/>
      </c>
      <c r="C48" s="473">
        <f>IF(D11="","-",+C47+1)</f>
        <v>2045</v>
      </c>
      <c r="D48" s="486">
        <f>IF(F47+SUM(E$17:E47)=D$10,F47,D$10-SUM(E$17:E47))</f>
        <v>1580746.018192423</v>
      </c>
      <c r="E48" s="485">
        <f t="shared" si="10"/>
        <v>117657.62790697675</v>
      </c>
      <c r="F48" s="486">
        <f t="shared" si="11"/>
        <v>1463088.3902854463</v>
      </c>
      <c r="G48" s="487">
        <f t="shared" si="12"/>
        <v>292763.84399101202</v>
      </c>
      <c r="H48" s="456">
        <f t="shared" si="13"/>
        <v>292763.84399101202</v>
      </c>
      <c r="I48" s="476">
        <f t="shared" si="4"/>
        <v>0</v>
      </c>
      <c r="J48" s="476"/>
      <c r="K48" s="488"/>
      <c r="L48" s="479">
        <f t="shared" si="14"/>
        <v>0</v>
      </c>
      <c r="M48" s="488"/>
      <c r="N48" s="479">
        <f t="shared" si="5"/>
        <v>0</v>
      </c>
      <c r="O48" s="479">
        <f t="shared" si="6"/>
        <v>0</v>
      </c>
      <c r="P48" s="243"/>
    </row>
    <row r="49" spans="2:16" ht="12.5">
      <c r="B49" s="160" t="str">
        <f t="shared" si="3"/>
        <v/>
      </c>
      <c r="C49" s="473">
        <f>IF(D11="","-",+C48+1)</f>
        <v>2046</v>
      </c>
      <c r="D49" s="486">
        <f>IF(F48+SUM(E$17:E48)=D$10,F48,D$10-SUM(E$17:E48))</f>
        <v>1463088.3902854463</v>
      </c>
      <c r="E49" s="485">
        <f t="shared" si="10"/>
        <v>117657.62790697675</v>
      </c>
      <c r="F49" s="486">
        <f t="shared" si="11"/>
        <v>1345430.7623784696</v>
      </c>
      <c r="G49" s="487">
        <f t="shared" si="12"/>
        <v>279226.58850902488</v>
      </c>
      <c r="H49" s="456">
        <f t="shared" si="13"/>
        <v>279226.58850902488</v>
      </c>
      <c r="I49" s="476">
        <f t="shared" si="4"/>
        <v>0</v>
      </c>
      <c r="J49" s="476"/>
      <c r="K49" s="488"/>
      <c r="L49" s="479">
        <f t="shared" si="14"/>
        <v>0</v>
      </c>
      <c r="M49" s="488"/>
      <c r="N49" s="479">
        <f t="shared" si="5"/>
        <v>0</v>
      </c>
      <c r="O49" s="479">
        <f t="shared" si="6"/>
        <v>0</v>
      </c>
      <c r="P49" s="243"/>
    </row>
    <row r="50" spans="2:16" ht="12.5">
      <c r="B50" s="160" t="str">
        <f t="shared" si="3"/>
        <v/>
      </c>
      <c r="C50" s="473">
        <f>IF(D11="","-",+C49+1)</f>
        <v>2047</v>
      </c>
      <c r="D50" s="486">
        <f>IF(F49+SUM(E$17:E49)=D$10,F49,D$10-SUM(E$17:E49))</f>
        <v>1345430.7623784696</v>
      </c>
      <c r="E50" s="485">
        <f t="shared" si="10"/>
        <v>117657.62790697675</v>
      </c>
      <c r="F50" s="486">
        <f t="shared" si="11"/>
        <v>1227773.1344714928</v>
      </c>
      <c r="G50" s="487">
        <f t="shared" si="12"/>
        <v>265689.33302703773</v>
      </c>
      <c r="H50" s="456">
        <f t="shared" si="13"/>
        <v>265689.33302703773</v>
      </c>
      <c r="I50" s="476">
        <f t="shared" si="4"/>
        <v>0</v>
      </c>
      <c r="J50" s="476"/>
      <c r="K50" s="488"/>
      <c r="L50" s="479">
        <f t="shared" si="14"/>
        <v>0</v>
      </c>
      <c r="M50" s="488"/>
      <c r="N50" s="479">
        <f t="shared" si="5"/>
        <v>0</v>
      </c>
      <c r="O50" s="479">
        <f t="shared" si="6"/>
        <v>0</v>
      </c>
      <c r="P50" s="243"/>
    </row>
    <row r="51" spans="2:16" ht="12.5">
      <c r="B51" s="160" t="str">
        <f t="shared" si="3"/>
        <v/>
      </c>
      <c r="C51" s="473">
        <f>IF(D11="","-",+C50+1)</f>
        <v>2048</v>
      </c>
      <c r="D51" s="486">
        <f>IF(F50+SUM(E$17:E50)=D$10,F50,D$10-SUM(E$17:E50))</f>
        <v>1227773.1344714928</v>
      </c>
      <c r="E51" s="485">
        <f t="shared" si="10"/>
        <v>117657.62790697675</v>
      </c>
      <c r="F51" s="486">
        <f t="shared" si="11"/>
        <v>1110115.5065645161</v>
      </c>
      <c r="G51" s="487">
        <f t="shared" si="12"/>
        <v>252152.07754505053</v>
      </c>
      <c r="H51" s="456">
        <f t="shared" si="13"/>
        <v>252152.07754505053</v>
      </c>
      <c r="I51" s="476">
        <f t="shared" si="4"/>
        <v>0</v>
      </c>
      <c r="J51" s="476"/>
      <c r="K51" s="488"/>
      <c r="L51" s="479">
        <f t="shared" si="14"/>
        <v>0</v>
      </c>
      <c r="M51" s="488"/>
      <c r="N51" s="479">
        <f t="shared" si="5"/>
        <v>0</v>
      </c>
      <c r="O51" s="479">
        <f t="shared" si="6"/>
        <v>0</v>
      </c>
      <c r="P51" s="243"/>
    </row>
    <row r="52" spans="2:16" ht="12.5">
      <c r="B52" s="160" t="str">
        <f t="shared" si="3"/>
        <v/>
      </c>
      <c r="C52" s="473">
        <f>IF(D11="","-",+C51+1)</f>
        <v>2049</v>
      </c>
      <c r="D52" s="486">
        <f>IF(F51+SUM(E$17:E51)=D$10,F51,D$10-SUM(E$17:E51))</f>
        <v>1110115.5065645161</v>
      </c>
      <c r="E52" s="485">
        <f t="shared" si="10"/>
        <v>117657.62790697675</v>
      </c>
      <c r="F52" s="486">
        <f t="shared" si="11"/>
        <v>992457.87865753938</v>
      </c>
      <c r="G52" s="487">
        <f t="shared" si="12"/>
        <v>238614.82206306339</v>
      </c>
      <c r="H52" s="456">
        <f t="shared" si="13"/>
        <v>238614.82206306339</v>
      </c>
      <c r="I52" s="476">
        <f t="shared" si="4"/>
        <v>0</v>
      </c>
      <c r="J52" s="476"/>
      <c r="K52" s="488"/>
      <c r="L52" s="479">
        <f t="shared" si="14"/>
        <v>0</v>
      </c>
      <c r="M52" s="488"/>
      <c r="N52" s="479">
        <f t="shared" si="5"/>
        <v>0</v>
      </c>
      <c r="O52" s="479">
        <f t="shared" si="6"/>
        <v>0</v>
      </c>
      <c r="P52" s="243"/>
    </row>
    <row r="53" spans="2:16" ht="12.5">
      <c r="B53" s="160" t="str">
        <f t="shared" si="3"/>
        <v/>
      </c>
      <c r="C53" s="473">
        <f>IF(D11="","-",+C52+1)</f>
        <v>2050</v>
      </c>
      <c r="D53" s="486">
        <f>IF(F52+SUM(E$17:E52)=D$10,F52,D$10-SUM(E$17:E52))</f>
        <v>992457.87865753938</v>
      </c>
      <c r="E53" s="485">
        <f t="shared" si="10"/>
        <v>117657.62790697675</v>
      </c>
      <c r="F53" s="486">
        <f t="shared" si="11"/>
        <v>874800.25075056264</v>
      </c>
      <c r="G53" s="487">
        <f t="shared" si="12"/>
        <v>225077.56658107624</v>
      </c>
      <c r="H53" s="456">
        <f t="shared" si="13"/>
        <v>225077.56658107624</v>
      </c>
      <c r="I53" s="476">
        <f t="shared" si="4"/>
        <v>0</v>
      </c>
      <c r="J53" s="476"/>
      <c r="K53" s="488"/>
      <c r="L53" s="479">
        <f t="shared" si="14"/>
        <v>0</v>
      </c>
      <c r="M53" s="488"/>
      <c r="N53" s="479">
        <f t="shared" si="5"/>
        <v>0</v>
      </c>
      <c r="O53" s="479">
        <f t="shared" si="6"/>
        <v>0</v>
      </c>
      <c r="P53" s="243"/>
    </row>
    <row r="54" spans="2:16" ht="12.5">
      <c r="B54" s="160" t="str">
        <f t="shared" si="3"/>
        <v/>
      </c>
      <c r="C54" s="473">
        <f>IF(D11="","-",+C53+1)</f>
        <v>2051</v>
      </c>
      <c r="D54" s="486">
        <f>IF(F53+SUM(E$17:E53)=D$10,F53,D$10-SUM(E$17:E53))</f>
        <v>874800.25075056264</v>
      </c>
      <c r="E54" s="485">
        <f t="shared" si="10"/>
        <v>117657.62790697675</v>
      </c>
      <c r="F54" s="486">
        <f t="shared" si="11"/>
        <v>757142.62284358591</v>
      </c>
      <c r="G54" s="487">
        <f t="shared" si="12"/>
        <v>211540.3110990891</v>
      </c>
      <c r="H54" s="456">
        <f t="shared" si="13"/>
        <v>211540.3110990891</v>
      </c>
      <c r="I54" s="476">
        <f t="shared" si="4"/>
        <v>0</v>
      </c>
      <c r="J54" s="476"/>
      <c r="K54" s="488"/>
      <c r="L54" s="479">
        <f t="shared" si="14"/>
        <v>0</v>
      </c>
      <c r="M54" s="488"/>
      <c r="N54" s="479">
        <f t="shared" si="5"/>
        <v>0</v>
      </c>
      <c r="O54" s="479">
        <f t="shared" si="6"/>
        <v>0</v>
      </c>
      <c r="P54" s="243"/>
    </row>
    <row r="55" spans="2:16" ht="12.5">
      <c r="B55" s="160" t="str">
        <f t="shared" si="3"/>
        <v/>
      </c>
      <c r="C55" s="473">
        <f>IF(D11="","-",+C54+1)</f>
        <v>2052</v>
      </c>
      <c r="D55" s="486">
        <f>IF(F54+SUM(E$17:E54)=D$10,F54,D$10-SUM(E$17:E54))</f>
        <v>757142.62284358591</v>
      </c>
      <c r="E55" s="485">
        <f t="shared" si="10"/>
        <v>117657.62790697675</v>
      </c>
      <c r="F55" s="486">
        <f t="shared" si="11"/>
        <v>639484.99493660918</v>
      </c>
      <c r="G55" s="487">
        <f t="shared" si="12"/>
        <v>198003.05561710193</v>
      </c>
      <c r="H55" s="456">
        <f t="shared" si="13"/>
        <v>198003.05561710193</v>
      </c>
      <c r="I55" s="476">
        <f t="shared" si="4"/>
        <v>0</v>
      </c>
      <c r="J55" s="476"/>
      <c r="K55" s="488"/>
      <c r="L55" s="479">
        <f t="shared" si="14"/>
        <v>0</v>
      </c>
      <c r="M55" s="488"/>
      <c r="N55" s="479">
        <f t="shared" si="5"/>
        <v>0</v>
      </c>
      <c r="O55" s="479">
        <f t="shared" si="6"/>
        <v>0</v>
      </c>
      <c r="P55" s="243"/>
    </row>
    <row r="56" spans="2:16" ht="12.5">
      <c r="B56" s="160" t="str">
        <f t="shared" si="3"/>
        <v/>
      </c>
      <c r="C56" s="473">
        <f>IF(D11="","-",+C55+1)</f>
        <v>2053</v>
      </c>
      <c r="D56" s="486">
        <f>IF(F55+SUM(E$17:E55)=D$10,F55,D$10-SUM(E$17:E55))</f>
        <v>639484.99493660918</v>
      </c>
      <c r="E56" s="485">
        <f t="shared" si="10"/>
        <v>117657.62790697675</v>
      </c>
      <c r="F56" s="486">
        <f t="shared" si="11"/>
        <v>521827.36702963244</v>
      </c>
      <c r="G56" s="487">
        <f t="shared" si="12"/>
        <v>184465.80013511475</v>
      </c>
      <c r="H56" s="456">
        <f t="shared" si="13"/>
        <v>184465.80013511475</v>
      </c>
      <c r="I56" s="476">
        <f t="shared" si="4"/>
        <v>0</v>
      </c>
      <c r="J56" s="476"/>
      <c r="K56" s="488"/>
      <c r="L56" s="479">
        <f t="shared" si="14"/>
        <v>0</v>
      </c>
      <c r="M56" s="488"/>
      <c r="N56" s="479">
        <f t="shared" si="5"/>
        <v>0</v>
      </c>
      <c r="O56" s="479">
        <f t="shared" si="6"/>
        <v>0</v>
      </c>
      <c r="P56" s="243"/>
    </row>
    <row r="57" spans="2:16" ht="12.5">
      <c r="B57" s="160" t="str">
        <f t="shared" si="3"/>
        <v/>
      </c>
      <c r="C57" s="473">
        <f>IF(D11="","-",+C56+1)</f>
        <v>2054</v>
      </c>
      <c r="D57" s="486">
        <f>IF(F56+SUM(E$17:E56)=D$10,F56,D$10-SUM(E$17:E56))</f>
        <v>521827.36702963244</v>
      </c>
      <c r="E57" s="485">
        <f t="shared" si="10"/>
        <v>117657.62790697675</v>
      </c>
      <c r="F57" s="486">
        <f t="shared" si="11"/>
        <v>404169.73912265571</v>
      </c>
      <c r="G57" s="487">
        <f t="shared" si="12"/>
        <v>170928.54465312761</v>
      </c>
      <c r="H57" s="456">
        <f t="shared" si="13"/>
        <v>170928.54465312761</v>
      </c>
      <c r="I57" s="476">
        <f t="shared" si="4"/>
        <v>0</v>
      </c>
      <c r="J57" s="476"/>
      <c r="K57" s="488"/>
      <c r="L57" s="479">
        <f t="shared" si="14"/>
        <v>0</v>
      </c>
      <c r="M57" s="488"/>
      <c r="N57" s="479">
        <f t="shared" si="5"/>
        <v>0</v>
      </c>
      <c r="O57" s="479">
        <f t="shared" si="6"/>
        <v>0</v>
      </c>
      <c r="P57" s="243"/>
    </row>
    <row r="58" spans="2:16" ht="12.5">
      <c r="B58" s="160" t="str">
        <f t="shared" si="3"/>
        <v/>
      </c>
      <c r="C58" s="473">
        <f>IF(D11="","-",+C57+1)</f>
        <v>2055</v>
      </c>
      <c r="D58" s="486">
        <f>IF(F57+SUM(E$17:E57)=D$10,F57,D$10-SUM(E$17:E57))</f>
        <v>404169.73912265571</v>
      </c>
      <c r="E58" s="485">
        <f t="shared" si="10"/>
        <v>117657.62790697675</v>
      </c>
      <c r="F58" s="486">
        <f t="shared" si="11"/>
        <v>286512.11121567897</v>
      </c>
      <c r="G58" s="487">
        <f t="shared" si="12"/>
        <v>157391.28917114044</v>
      </c>
      <c r="H58" s="456">
        <f t="shared" si="13"/>
        <v>157391.28917114044</v>
      </c>
      <c r="I58" s="476">
        <f t="shared" si="4"/>
        <v>0</v>
      </c>
      <c r="J58" s="476"/>
      <c r="K58" s="488"/>
      <c r="L58" s="479">
        <f t="shared" si="14"/>
        <v>0</v>
      </c>
      <c r="M58" s="488"/>
      <c r="N58" s="479">
        <f t="shared" si="5"/>
        <v>0</v>
      </c>
      <c r="O58" s="479">
        <f t="shared" si="6"/>
        <v>0</v>
      </c>
      <c r="P58" s="243"/>
    </row>
    <row r="59" spans="2:16" ht="12.5">
      <c r="B59" s="160" t="str">
        <f t="shared" si="3"/>
        <v/>
      </c>
      <c r="C59" s="473">
        <f>IF(D11="","-",+C58+1)</f>
        <v>2056</v>
      </c>
      <c r="D59" s="486">
        <f>IF(F58+SUM(E$17:E58)=D$10,F58,D$10-SUM(E$17:E58))</f>
        <v>286512.11121567897</v>
      </c>
      <c r="E59" s="485">
        <f t="shared" si="10"/>
        <v>117657.62790697675</v>
      </c>
      <c r="F59" s="486">
        <f t="shared" si="11"/>
        <v>168854.48330870224</v>
      </c>
      <c r="G59" s="487">
        <f t="shared" si="12"/>
        <v>143854.03368915329</v>
      </c>
      <c r="H59" s="456">
        <f t="shared" si="13"/>
        <v>143854.03368915329</v>
      </c>
      <c r="I59" s="476">
        <f t="shared" si="4"/>
        <v>0</v>
      </c>
      <c r="J59" s="476"/>
      <c r="K59" s="488"/>
      <c r="L59" s="479">
        <f t="shared" si="14"/>
        <v>0</v>
      </c>
      <c r="M59" s="488"/>
      <c r="N59" s="479">
        <f t="shared" si="5"/>
        <v>0</v>
      </c>
      <c r="O59" s="479">
        <f t="shared" si="6"/>
        <v>0</v>
      </c>
      <c r="P59" s="243"/>
    </row>
    <row r="60" spans="2:16" ht="12.5">
      <c r="B60" s="160" t="str">
        <f t="shared" si="3"/>
        <v/>
      </c>
      <c r="C60" s="473">
        <f>IF(D11="","-",+C59+1)</f>
        <v>2057</v>
      </c>
      <c r="D60" s="486">
        <f>IF(F59+SUM(E$17:E59)=D$10,F59,D$10-SUM(E$17:E59))</f>
        <v>168854.48330870224</v>
      </c>
      <c r="E60" s="485">
        <f t="shared" si="10"/>
        <v>117657.62790697675</v>
      </c>
      <c r="F60" s="486">
        <f t="shared" si="11"/>
        <v>51196.855401725494</v>
      </c>
      <c r="G60" s="487">
        <f t="shared" si="12"/>
        <v>130316.77820716613</v>
      </c>
      <c r="H60" s="456">
        <f t="shared" si="13"/>
        <v>130316.77820716613</v>
      </c>
      <c r="I60" s="476">
        <f t="shared" si="4"/>
        <v>0</v>
      </c>
      <c r="J60" s="476"/>
      <c r="K60" s="488"/>
      <c r="L60" s="479">
        <f t="shared" si="14"/>
        <v>0</v>
      </c>
      <c r="M60" s="488"/>
      <c r="N60" s="479">
        <f t="shared" si="5"/>
        <v>0</v>
      </c>
      <c r="O60" s="479">
        <f t="shared" si="6"/>
        <v>0</v>
      </c>
      <c r="P60" s="243"/>
    </row>
    <row r="61" spans="2:16" ht="12.5">
      <c r="B61" s="160" t="str">
        <f t="shared" si="3"/>
        <v/>
      </c>
      <c r="C61" s="473">
        <f>IF(D11="","-",+C60+1)</f>
        <v>2058</v>
      </c>
      <c r="D61" s="486">
        <f>IF(F60+SUM(E$17:E60)=D$10,F60,D$10-SUM(E$17:E60))</f>
        <v>51196.855401725494</v>
      </c>
      <c r="E61" s="485">
        <f t="shared" si="10"/>
        <v>51196.855401725494</v>
      </c>
      <c r="F61" s="486">
        <f t="shared" si="11"/>
        <v>0</v>
      </c>
      <c r="G61" s="487">
        <f t="shared" si="12"/>
        <v>54142.116681323394</v>
      </c>
      <c r="H61" s="456">
        <f t="shared" si="13"/>
        <v>54142.116681323394</v>
      </c>
      <c r="I61" s="476">
        <f t="shared" si="4"/>
        <v>0</v>
      </c>
      <c r="J61" s="476"/>
      <c r="K61" s="488"/>
      <c r="L61" s="479">
        <f t="shared" si="14"/>
        <v>0</v>
      </c>
      <c r="M61" s="488"/>
      <c r="N61" s="479">
        <f t="shared" si="5"/>
        <v>0</v>
      </c>
      <c r="O61" s="479">
        <f t="shared" si="6"/>
        <v>0</v>
      </c>
      <c r="P61" s="243"/>
    </row>
    <row r="62" spans="2:16" ht="12.5">
      <c r="B62" s="160" t="str">
        <f t="shared" si="3"/>
        <v/>
      </c>
      <c r="C62" s="473">
        <f>IF(D11="","-",+C61+1)</f>
        <v>2059</v>
      </c>
      <c r="D62" s="486">
        <f>IF(F61+SUM(E$17:E61)=D$10,F61,D$10-SUM(E$17:E61))</f>
        <v>0</v>
      </c>
      <c r="E62" s="485">
        <f t="shared" si="10"/>
        <v>0</v>
      </c>
      <c r="F62" s="486">
        <f t="shared" si="11"/>
        <v>0</v>
      </c>
      <c r="G62" s="487">
        <f t="shared" si="12"/>
        <v>0</v>
      </c>
      <c r="H62" s="456">
        <f t="shared" si="13"/>
        <v>0</v>
      </c>
      <c r="I62" s="476">
        <f t="shared" si="4"/>
        <v>0</v>
      </c>
      <c r="J62" s="476"/>
      <c r="K62" s="488"/>
      <c r="L62" s="479">
        <f t="shared" si="14"/>
        <v>0</v>
      </c>
      <c r="M62" s="488"/>
      <c r="N62" s="479">
        <f t="shared" si="5"/>
        <v>0</v>
      </c>
      <c r="O62" s="479">
        <f t="shared" si="6"/>
        <v>0</v>
      </c>
      <c r="P62" s="243"/>
    </row>
    <row r="63" spans="2:16" ht="12.5">
      <c r="B63" s="160" t="str">
        <f t="shared" si="3"/>
        <v/>
      </c>
      <c r="C63" s="473">
        <f>IF(D11="","-",+C62+1)</f>
        <v>2060</v>
      </c>
      <c r="D63" s="486">
        <f>IF(F62+SUM(E$17:E62)=D$10,F62,D$10-SUM(E$17:E62))</f>
        <v>0</v>
      </c>
      <c r="E63" s="485">
        <f t="shared" si="10"/>
        <v>0</v>
      </c>
      <c r="F63" s="486">
        <f t="shared" si="11"/>
        <v>0</v>
      </c>
      <c r="G63" s="487">
        <f t="shared" si="12"/>
        <v>0</v>
      </c>
      <c r="H63" s="456">
        <f t="shared" si="13"/>
        <v>0</v>
      </c>
      <c r="I63" s="476">
        <f t="shared" si="4"/>
        <v>0</v>
      </c>
      <c r="J63" s="476"/>
      <c r="K63" s="488"/>
      <c r="L63" s="479">
        <f t="shared" si="14"/>
        <v>0</v>
      </c>
      <c r="M63" s="488"/>
      <c r="N63" s="479">
        <f t="shared" si="5"/>
        <v>0</v>
      </c>
      <c r="O63" s="479">
        <f t="shared" si="6"/>
        <v>0</v>
      </c>
      <c r="P63" s="243"/>
    </row>
    <row r="64" spans="2:16" ht="12.5">
      <c r="B64" s="160" t="str">
        <f t="shared" si="3"/>
        <v/>
      </c>
      <c r="C64" s="473">
        <f>IF(D11="","-",+C63+1)</f>
        <v>2061</v>
      </c>
      <c r="D64" s="486">
        <f>IF(F63+SUM(E$17:E63)=D$10,F63,D$10-SUM(E$17:E63))</f>
        <v>0</v>
      </c>
      <c r="E64" s="485">
        <f t="shared" si="10"/>
        <v>0</v>
      </c>
      <c r="F64" s="486">
        <f t="shared" si="11"/>
        <v>0</v>
      </c>
      <c r="G64" s="487">
        <f t="shared" si="12"/>
        <v>0</v>
      </c>
      <c r="H64" s="456">
        <f t="shared" si="13"/>
        <v>0</v>
      </c>
      <c r="I64" s="476">
        <f t="shared" si="4"/>
        <v>0</v>
      </c>
      <c r="J64" s="476"/>
      <c r="K64" s="488"/>
      <c r="L64" s="479">
        <f t="shared" si="14"/>
        <v>0</v>
      </c>
      <c r="M64" s="488"/>
      <c r="N64" s="479">
        <f t="shared" si="5"/>
        <v>0</v>
      </c>
      <c r="O64" s="479">
        <f t="shared" si="6"/>
        <v>0</v>
      </c>
      <c r="P64" s="243"/>
    </row>
    <row r="65" spans="2:16" ht="12.5">
      <c r="B65" s="160" t="str">
        <f t="shared" si="3"/>
        <v/>
      </c>
      <c r="C65" s="473">
        <f>IF(D11="","-",+C64+1)</f>
        <v>2062</v>
      </c>
      <c r="D65" s="486">
        <f>IF(F64+SUM(E$17:E64)=D$10,F64,D$10-SUM(E$17:E64))</f>
        <v>0</v>
      </c>
      <c r="E65" s="485">
        <f t="shared" si="10"/>
        <v>0</v>
      </c>
      <c r="F65" s="486">
        <f t="shared" si="11"/>
        <v>0</v>
      </c>
      <c r="G65" s="487">
        <f t="shared" si="12"/>
        <v>0</v>
      </c>
      <c r="H65" s="456">
        <f t="shared" si="13"/>
        <v>0</v>
      </c>
      <c r="I65" s="476">
        <f t="shared" si="4"/>
        <v>0</v>
      </c>
      <c r="J65" s="476"/>
      <c r="K65" s="488"/>
      <c r="L65" s="479">
        <f t="shared" si="14"/>
        <v>0</v>
      </c>
      <c r="M65" s="488"/>
      <c r="N65" s="479">
        <f t="shared" si="5"/>
        <v>0</v>
      </c>
      <c r="O65" s="479">
        <f t="shared" si="6"/>
        <v>0</v>
      </c>
      <c r="P65" s="243"/>
    </row>
    <row r="66" spans="2:16" ht="12.5">
      <c r="B66" s="160" t="str">
        <f t="shared" si="3"/>
        <v/>
      </c>
      <c r="C66" s="473">
        <f>IF(D11="","-",+C65+1)</f>
        <v>2063</v>
      </c>
      <c r="D66" s="486">
        <f>IF(F65+SUM(E$17:E65)=D$10,F65,D$10-SUM(E$17:E65))</f>
        <v>0</v>
      </c>
      <c r="E66" s="485">
        <f t="shared" si="10"/>
        <v>0</v>
      </c>
      <c r="F66" s="486">
        <f t="shared" si="11"/>
        <v>0</v>
      </c>
      <c r="G66" s="487">
        <f t="shared" si="12"/>
        <v>0</v>
      </c>
      <c r="H66" s="456">
        <f t="shared" si="13"/>
        <v>0</v>
      </c>
      <c r="I66" s="476">
        <f t="shared" si="4"/>
        <v>0</v>
      </c>
      <c r="J66" s="476"/>
      <c r="K66" s="488"/>
      <c r="L66" s="479">
        <f t="shared" si="14"/>
        <v>0</v>
      </c>
      <c r="M66" s="488"/>
      <c r="N66" s="479">
        <f t="shared" si="5"/>
        <v>0</v>
      </c>
      <c r="O66" s="479">
        <f t="shared" si="6"/>
        <v>0</v>
      </c>
      <c r="P66" s="243"/>
    </row>
    <row r="67" spans="2:16" ht="12.5">
      <c r="B67" s="160" t="str">
        <f t="shared" si="3"/>
        <v/>
      </c>
      <c r="C67" s="473">
        <f>IF(D11="","-",+C66+1)</f>
        <v>2064</v>
      </c>
      <c r="D67" s="486">
        <f>IF(F66+SUM(E$17:E66)=D$10,F66,D$10-SUM(E$17:E66))</f>
        <v>0</v>
      </c>
      <c r="E67" s="485">
        <f t="shared" si="10"/>
        <v>0</v>
      </c>
      <c r="F67" s="486">
        <f t="shared" si="11"/>
        <v>0</v>
      </c>
      <c r="G67" s="487">
        <f t="shared" si="12"/>
        <v>0</v>
      </c>
      <c r="H67" s="456">
        <f t="shared" si="13"/>
        <v>0</v>
      </c>
      <c r="I67" s="476">
        <f t="shared" si="4"/>
        <v>0</v>
      </c>
      <c r="J67" s="476"/>
      <c r="K67" s="488"/>
      <c r="L67" s="479">
        <f t="shared" si="14"/>
        <v>0</v>
      </c>
      <c r="M67" s="488"/>
      <c r="N67" s="479">
        <f t="shared" si="5"/>
        <v>0</v>
      </c>
      <c r="O67" s="479">
        <f t="shared" si="6"/>
        <v>0</v>
      </c>
      <c r="P67" s="243"/>
    </row>
    <row r="68" spans="2:16" ht="12.5">
      <c r="B68" s="160" t="str">
        <f t="shared" si="3"/>
        <v/>
      </c>
      <c r="C68" s="473">
        <f>IF(D11="","-",+C67+1)</f>
        <v>2065</v>
      </c>
      <c r="D68" s="486">
        <f>IF(F67+SUM(E$17:E67)=D$10,F67,D$10-SUM(E$17:E67))</f>
        <v>0</v>
      </c>
      <c r="E68" s="485">
        <f t="shared" si="10"/>
        <v>0</v>
      </c>
      <c r="F68" s="486">
        <f t="shared" si="11"/>
        <v>0</v>
      </c>
      <c r="G68" s="487">
        <f t="shared" si="12"/>
        <v>0</v>
      </c>
      <c r="H68" s="456">
        <f t="shared" si="13"/>
        <v>0</v>
      </c>
      <c r="I68" s="476">
        <f t="shared" si="4"/>
        <v>0</v>
      </c>
      <c r="J68" s="476"/>
      <c r="K68" s="488"/>
      <c r="L68" s="479">
        <f t="shared" si="14"/>
        <v>0</v>
      </c>
      <c r="M68" s="488"/>
      <c r="N68" s="479">
        <f t="shared" si="5"/>
        <v>0</v>
      </c>
      <c r="O68" s="479">
        <f t="shared" si="6"/>
        <v>0</v>
      </c>
      <c r="P68" s="243"/>
    </row>
    <row r="69" spans="2:16" ht="12.5">
      <c r="B69" s="160" t="str">
        <f t="shared" si="3"/>
        <v/>
      </c>
      <c r="C69" s="473">
        <f>IF(D11="","-",+C68+1)</f>
        <v>2066</v>
      </c>
      <c r="D69" s="486">
        <f>IF(F68+SUM(E$17:E68)=D$10,F68,D$10-SUM(E$17:E68))</f>
        <v>0</v>
      </c>
      <c r="E69" s="485">
        <f t="shared" si="10"/>
        <v>0</v>
      </c>
      <c r="F69" s="486">
        <f t="shared" si="11"/>
        <v>0</v>
      </c>
      <c r="G69" s="487">
        <f t="shared" si="12"/>
        <v>0</v>
      </c>
      <c r="H69" s="456">
        <f t="shared" si="13"/>
        <v>0</v>
      </c>
      <c r="I69" s="476">
        <f t="shared" si="4"/>
        <v>0</v>
      </c>
      <c r="J69" s="476"/>
      <c r="K69" s="488"/>
      <c r="L69" s="479">
        <f t="shared" si="14"/>
        <v>0</v>
      </c>
      <c r="M69" s="488"/>
      <c r="N69" s="479">
        <f t="shared" si="5"/>
        <v>0</v>
      </c>
      <c r="O69" s="479">
        <f t="shared" si="6"/>
        <v>0</v>
      </c>
      <c r="P69" s="243"/>
    </row>
    <row r="70" spans="2:16" ht="12.5">
      <c r="B70" s="160" t="str">
        <f t="shared" si="3"/>
        <v/>
      </c>
      <c r="C70" s="473">
        <f>IF(D11="","-",+C69+1)</f>
        <v>2067</v>
      </c>
      <c r="D70" s="486">
        <f>IF(F69+SUM(E$17:E69)=D$10,F69,D$10-SUM(E$17:E69))</f>
        <v>0</v>
      </c>
      <c r="E70" s="485">
        <f t="shared" si="10"/>
        <v>0</v>
      </c>
      <c r="F70" s="486">
        <f t="shared" si="11"/>
        <v>0</v>
      </c>
      <c r="G70" s="487">
        <f t="shared" si="12"/>
        <v>0</v>
      </c>
      <c r="H70" s="456">
        <f t="shared" si="13"/>
        <v>0</v>
      </c>
      <c r="I70" s="476">
        <f t="shared" si="4"/>
        <v>0</v>
      </c>
      <c r="J70" s="476"/>
      <c r="K70" s="488"/>
      <c r="L70" s="479">
        <f t="shared" si="14"/>
        <v>0</v>
      </c>
      <c r="M70" s="488"/>
      <c r="N70" s="479">
        <f t="shared" si="5"/>
        <v>0</v>
      </c>
      <c r="O70" s="479">
        <f t="shared" si="6"/>
        <v>0</v>
      </c>
      <c r="P70" s="243"/>
    </row>
    <row r="71" spans="2:16" ht="12.5">
      <c r="B71" s="160" t="str">
        <f t="shared" si="3"/>
        <v/>
      </c>
      <c r="C71" s="473">
        <f>IF(D11="","-",+C70+1)</f>
        <v>2068</v>
      </c>
      <c r="D71" s="486">
        <f>IF(F70+SUM(E$17:E70)=D$10,F70,D$10-SUM(E$17:E70))</f>
        <v>0</v>
      </c>
      <c r="E71" s="485">
        <f t="shared" si="10"/>
        <v>0</v>
      </c>
      <c r="F71" s="486">
        <f t="shared" si="11"/>
        <v>0</v>
      </c>
      <c r="G71" s="487">
        <f t="shared" si="12"/>
        <v>0</v>
      </c>
      <c r="H71" s="456">
        <f t="shared" si="13"/>
        <v>0</v>
      </c>
      <c r="I71" s="476">
        <f t="shared" si="4"/>
        <v>0</v>
      </c>
      <c r="J71" s="476"/>
      <c r="K71" s="488"/>
      <c r="L71" s="479">
        <f t="shared" si="14"/>
        <v>0</v>
      </c>
      <c r="M71" s="488"/>
      <c r="N71" s="479">
        <f t="shared" si="5"/>
        <v>0</v>
      </c>
      <c r="O71" s="479">
        <f t="shared" si="6"/>
        <v>0</v>
      </c>
      <c r="P71" s="243"/>
    </row>
    <row r="72" spans="2:16" ht="13" thickBot="1">
      <c r="B72" s="160" t="str">
        <f t="shared" si="3"/>
        <v/>
      </c>
      <c r="C72" s="490">
        <f>IF(D11="","-",+C71+1)</f>
        <v>2069</v>
      </c>
      <c r="D72" s="491">
        <f>IF(F71+SUM(E$17:E71)=D$10,F71,D$10-SUM(E$17:E71))</f>
        <v>0</v>
      </c>
      <c r="E72" s="492">
        <f t="shared" si="10"/>
        <v>0</v>
      </c>
      <c r="F72" s="491">
        <f t="shared" si="11"/>
        <v>0</v>
      </c>
      <c r="G72" s="491">
        <f t="shared" si="12"/>
        <v>0</v>
      </c>
      <c r="H72" s="491">
        <f t="shared" si="13"/>
        <v>0</v>
      </c>
      <c r="I72" s="496">
        <f t="shared" si="4"/>
        <v>0</v>
      </c>
      <c r="J72" s="491"/>
      <c r="K72" s="495"/>
      <c r="L72" s="496">
        <f t="shared" si="14"/>
        <v>0</v>
      </c>
      <c r="M72" s="495"/>
      <c r="N72" s="496">
        <f t="shared" si="5"/>
        <v>0</v>
      </c>
      <c r="O72" s="496">
        <f t="shared" si="6"/>
        <v>0</v>
      </c>
      <c r="P72" s="243"/>
    </row>
    <row r="73" spans="2:16" ht="12.5">
      <c r="C73" s="347" t="s">
        <v>77</v>
      </c>
      <c r="D73" s="348"/>
      <c r="E73" s="348">
        <f>SUM(E17:E72)</f>
        <v>5059278.0000000019</v>
      </c>
      <c r="F73" s="348"/>
      <c r="G73" s="348">
        <f>SUM(G17:G72)</f>
        <v>18958359.174784519</v>
      </c>
      <c r="H73" s="348">
        <f>SUM(H17:H72)</f>
        <v>18958359.174784519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16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602674.25524940272</v>
      </c>
      <c r="N87" s="509">
        <f>IF(J92&lt;D11,0,VLOOKUP(J92,C17:O72,11))</f>
        <v>602674.25524940272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629796.85800289037</v>
      </c>
      <c r="N88" s="513">
        <f>IF(J92&lt;D11,0,VLOOKUP(J92,C99:P154,7))</f>
        <v>629796.85800289037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Cornville Station Conversion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27122.602753487648</v>
      </c>
      <c r="N89" s="518">
        <f>+N88-N87</f>
        <v>27122.602753487648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TP2011093</v>
      </c>
      <c r="E91" s="523" t="str">
        <f>E9</f>
        <v xml:space="preserve">  SPP Project ID = 30346</v>
      </c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5059278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2014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12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117658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2014</v>
      </c>
      <c r="D99" s="585">
        <v>0</v>
      </c>
      <c r="E99" s="586">
        <v>0</v>
      </c>
      <c r="F99" s="587">
        <v>4992922.66</v>
      </c>
      <c r="G99" s="606">
        <v>2496461.33</v>
      </c>
      <c r="H99" s="607">
        <v>350992.25806989282</v>
      </c>
      <c r="I99" s="608">
        <v>350992.25806989282</v>
      </c>
      <c r="J99" s="479">
        <v>0</v>
      </c>
      <c r="K99" s="479"/>
      <c r="L99" s="477">
        <f t="shared" ref="L99:L104" si="15">H99</f>
        <v>350992.25806989282</v>
      </c>
      <c r="M99" s="349">
        <f t="shared" ref="M99:M104" si="16">IF(L99&lt;&gt;0,+H99-L99,0)</f>
        <v>0</v>
      </c>
      <c r="N99" s="477">
        <f t="shared" ref="N99:N104" si="17">I99</f>
        <v>350992.25806989282</v>
      </c>
      <c r="O99" s="476">
        <f>IF(N99&lt;&gt;0,+I99-N99,0)</f>
        <v>0</v>
      </c>
      <c r="P99" s="479">
        <f>+O99-M99</f>
        <v>0</v>
      </c>
    </row>
    <row r="100" spans="1:16" ht="12.5">
      <c r="B100" s="160" t="str">
        <f>IF(D100=F99,"","IU")</f>
        <v>IU</v>
      </c>
      <c r="C100" s="473">
        <f>IF(D93="","-",+C99+1)</f>
        <v>2015</v>
      </c>
      <c r="D100" s="585">
        <v>5071338</v>
      </c>
      <c r="E100" s="586">
        <v>97526</v>
      </c>
      <c r="F100" s="587">
        <v>4973812</v>
      </c>
      <c r="G100" s="587">
        <v>5022575</v>
      </c>
      <c r="H100" s="607">
        <v>782815.97525692882</v>
      </c>
      <c r="I100" s="608">
        <v>782815.97525692882</v>
      </c>
      <c r="J100" s="479">
        <f>+I100-H100</f>
        <v>0</v>
      </c>
      <c r="K100" s="479"/>
      <c r="L100" s="477">
        <f t="shared" si="15"/>
        <v>782815.97525692882</v>
      </c>
      <c r="M100" s="349">
        <f t="shared" si="16"/>
        <v>0</v>
      </c>
      <c r="N100" s="477">
        <f t="shared" si="17"/>
        <v>782815.97525692882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8">IF(D101=F100,"","IU")</f>
        <v>IU</v>
      </c>
      <c r="C101" s="473">
        <f>IF(D93="","-",+C100+1)</f>
        <v>2016</v>
      </c>
      <c r="D101" s="585">
        <v>4961752</v>
      </c>
      <c r="E101" s="586">
        <v>109984</v>
      </c>
      <c r="F101" s="587">
        <v>4851768</v>
      </c>
      <c r="G101" s="587">
        <v>4906760</v>
      </c>
      <c r="H101" s="607">
        <v>742542.63994670648</v>
      </c>
      <c r="I101" s="608">
        <v>742542.63994670648</v>
      </c>
      <c r="J101" s="479">
        <f t="shared" ref="J101:J154" si="19">+I101-H101</f>
        <v>0</v>
      </c>
      <c r="K101" s="479"/>
      <c r="L101" s="477">
        <f t="shared" si="15"/>
        <v>742542.63994670648</v>
      </c>
      <c r="M101" s="349">
        <f t="shared" si="16"/>
        <v>0</v>
      </c>
      <c r="N101" s="477">
        <f t="shared" si="17"/>
        <v>742542.63994670648</v>
      </c>
      <c r="O101" s="476">
        <f>IF(N101&lt;&gt;0,+I101-N101,0)</f>
        <v>0</v>
      </c>
      <c r="P101" s="479">
        <f>+O101-M101</f>
        <v>0</v>
      </c>
    </row>
    <row r="102" spans="1:16" ht="12.5">
      <c r="B102" s="160" t="str">
        <f t="shared" si="18"/>
        <v/>
      </c>
      <c r="C102" s="473">
        <f>IF(D93="","-",+C101+1)</f>
        <v>2017</v>
      </c>
      <c r="D102" s="585">
        <v>4851768</v>
      </c>
      <c r="E102" s="586">
        <v>109984</v>
      </c>
      <c r="F102" s="587">
        <v>4741784</v>
      </c>
      <c r="G102" s="587">
        <v>4796776</v>
      </c>
      <c r="H102" s="607">
        <v>718467.13067498105</v>
      </c>
      <c r="I102" s="608">
        <v>718467.13067498105</v>
      </c>
      <c r="J102" s="479">
        <f t="shared" si="19"/>
        <v>0</v>
      </c>
      <c r="K102" s="479"/>
      <c r="L102" s="477">
        <f t="shared" si="15"/>
        <v>718467.13067498105</v>
      </c>
      <c r="M102" s="349">
        <f t="shared" si="16"/>
        <v>0</v>
      </c>
      <c r="N102" s="477">
        <f t="shared" si="17"/>
        <v>718467.13067498105</v>
      </c>
      <c r="O102" s="476">
        <f>IF(N102&lt;&gt;0,+I102-N102,0)</f>
        <v>0</v>
      </c>
      <c r="P102" s="479">
        <f>+O102-M102</f>
        <v>0</v>
      </c>
    </row>
    <row r="103" spans="1:16" ht="12.5">
      <c r="B103" s="160" t="str">
        <f t="shared" si="18"/>
        <v/>
      </c>
      <c r="C103" s="473">
        <f>IF(D93="","-",+C102+1)</f>
        <v>2018</v>
      </c>
      <c r="D103" s="585">
        <v>4741784</v>
      </c>
      <c r="E103" s="586">
        <v>117658</v>
      </c>
      <c r="F103" s="587">
        <v>4624126</v>
      </c>
      <c r="G103" s="587">
        <v>4682955</v>
      </c>
      <c r="H103" s="607">
        <v>598764.03634994966</v>
      </c>
      <c r="I103" s="608">
        <v>598764.03634994966</v>
      </c>
      <c r="J103" s="479">
        <f t="shared" si="19"/>
        <v>0</v>
      </c>
      <c r="K103" s="479"/>
      <c r="L103" s="477">
        <f t="shared" si="15"/>
        <v>598764.03634994966</v>
      </c>
      <c r="M103" s="349">
        <f t="shared" si="16"/>
        <v>0</v>
      </c>
      <c r="N103" s="477">
        <f t="shared" si="17"/>
        <v>598764.03634994966</v>
      </c>
      <c r="O103" s="476">
        <f>IF(N103&lt;&gt;0,+I103-N103,0)</f>
        <v>0</v>
      </c>
      <c r="P103" s="479">
        <f>+O103-M103</f>
        <v>0</v>
      </c>
    </row>
    <row r="104" spans="1:16" ht="12.5">
      <c r="B104" s="160" t="str">
        <f t="shared" si="18"/>
        <v/>
      </c>
      <c r="C104" s="473">
        <f>IF(D93="","-",+C103+1)</f>
        <v>2019</v>
      </c>
      <c r="D104" s="585">
        <v>4624126</v>
      </c>
      <c r="E104" s="586">
        <v>123397</v>
      </c>
      <c r="F104" s="587">
        <v>4500729</v>
      </c>
      <c r="G104" s="587">
        <v>4562427.5</v>
      </c>
      <c r="H104" s="607">
        <v>593847.268225985</v>
      </c>
      <c r="I104" s="608">
        <v>593847.268225985</v>
      </c>
      <c r="J104" s="479">
        <f t="shared" si="19"/>
        <v>0</v>
      </c>
      <c r="K104" s="479"/>
      <c r="L104" s="477">
        <f t="shared" si="15"/>
        <v>593847.268225985</v>
      </c>
      <c r="M104" s="349">
        <f t="shared" si="16"/>
        <v>0</v>
      </c>
      <c r="N104" s="477">
        <f t="shared" si="17"/>
        <v>593847.268225985</v>
      </c>
      <c r="O104" s="479">
        <f t="shared" ref="O104:O130" si="20">IF(N104&lt;&gt;0,+I104-N104,0)</f>
        <v>0</v>
      </c>
      <c r="P104" s="479">
        <f t="shared" ref="P104:P130" si="21">+O104-M104</f>
        <v>0</v>
      </c>
    </row>
    <row r="105" spans="1:16" ht="12.5">
      <c r="B105" s="160" t="str">
        <f t="shared" si="18"/>
        <v/>
      </c>
      <c r="C105" s="473">
        <f>IF(D93="","-",+C104+1)</f>
        <v>2020</v>
      </c>
      <c r="D105" s="347">
        <f>IF(F104+SUM(E$99:E104)=D$92,F104,D$92-SUM(E$99:E104))</f>
        <v>4500729</v>
      </c>
      <c r="E105" s="485">
        <f t="shared" ref="E105:E154" si="22">IF(+J$96&lt;F104,J$96,D105)</f>
        <v>117658</v>
      </c>
      <c r="F105" s="486">
        <f t="shared" ref="F105:F154" si="23">+D105-E105</f>
        <v>4383071</v>
      </c>
      <c r="G105" s="486">
        <f t="shared" ref="G105:G154" si="24">+(F105+D105)/2</f>
        <v>4441900</v>
      </c>
      <c r="H105" s="487">
        <f>(D105+F105)/2*J$94+E105</f>
        <v>629796.85800289037</v>
      </c>
      <c r="I105" s="543">
        <f t="shared" ref="I105:I154" si="25">+J$95*G105+E105</f>
        <v>629796.85800289037</v>
      </c>
      <c r="J105" s="479">
        <f t="shared" si="19"/>
        <v>0</v>
      </c>
      <c r="K105" s="479"/>
      <c r="L105" s="488"/>
      <c r="M105" s="479">
        <f t="shared" ref="M105:M130" si="26">IF(L105&lt;&gt;0,+H105-L105,0)</f>
        <v>0</v>
      </c>
      <c r="N105" s="488"/>
      <c r="O105" s="479">
        <f t="shared" si="20"/>
        <v>0</v>
      </c>
      <c r="P105" s="479">
        <f t="shared" si="21"/>
        <v>0</v>
      </c>
    </row>
    <row r="106" spans="1:16" ht="12.5">
      <c r="B106" s="160" t="str">
        <f t="shared" si="18"/>
        <v/>
      </c>
      <c r="C106" s="473">
        <f>IF(D93="","-",+C105+1)</f>
        <v>2021</v>
      </c>
      <c r="D106" s="347">
        <f>IF(F105+SUM(E$99:E105)=D$92,F105,D$92-SUM(E$99:E105))</f>
        <v>4383071</v>
      </c>
      <c r="E106" s="485">
        <f t="shared" si="22"/>
        <v>117658</v>
      </c>
      <c r="F106" s="486">
        <f t="shared" si="23"/>
        <v>4265413</v>
      </c>
      <c r="G106" s="486">
        <f t="shared" si="24"/>
        <v>4324242</v>
      </c>
      <c r="H106" s="487">
        <f t="shared" ref="H106:H153" si="27">(D106+F106)/2*J$94+E106</f>
        <v>616231.21407688933</v>
      </c>
      <c r="I106" s="543">
        <f t="shared" ref="I106:I153" si="28">+J$95*G106+E106</f>
        <v>616231.21407688933</v>
      </c>
      <c r="J106" s="479">
        <f t="shared" si="19"/>
        <v>0</v>
      </c>
      <c r="K106" s="479"/>
      <c r="L106" s="488"/>
      <c r="M106" s="479">
        <f t="shared" si="26"/>
        <v>0</v>
      </c>
      <c r="N106" s="488"/>
      <c r="O106" s="479">
        <f t="shared" si="20"/>
        <v>0</v>
      </c>
      <c r="P106" s="479">
        <f t="shared" si="21"/>
        <v>0</v>
      </c>
    </row>
    <row r="107" spans="1:16" ht="12.5">
      <c r="B107" s="160" t="str">
        <f t="shared" si="18"/>
        <v/>
      </c>
      <c r="C107" s="473">
        <f>IF(D93="","-",+C106+1)</f>
        <v>2022</v>
      </c>
      <c r="D107" s="347">
        <f>IF(F106+SUM(E$99:E106)=D$92,F106,D$92-SUM(E$99:E106))</f>
        <v>4265413</v>
      </c>
      <c r="E107" s="485">
        <f t="shared" si="22"/>
        <v>117658</v>
      </c>
      <c r="F107" s="486">
        <f t="shared" si="23"/>
        <v>4147755</v>
      </c>
      <c r="G107" s="486">
        <f t="shared" si="24"/>
        <v>4206584</v>
      </c>
      <c r="H107" s="487">
        <f t="shared" si="27"/>
        <v>602665.57015088829</v>
      </c>
      <c r="I107" s="543">
        <f t="shared" si="28"/>
        <v>602665.57015088829</v>
      </c>
      <c r="J107" s="479">
        <f t="shared" si="19"/>
        <v>0</v>
      </c>
      <c r="K107" s="479"/>
      <c r="L107" s="488"/>
      <c r="M107" s="479">
        <f t="shared" si="26"/>
        <v>0</v>
      </c>
      <c r="N107" s="488"/>
      <c r="O107" s="479">
        <f t="shared" si="20"/>
        <v>0</v>
      </c>
      <c r="P107" s="479">
        <f t="shared" si="21"/>
        <v>0</v>
      </c>
    </row>
    <row r="108" spans="1:16" ht="12.5">
      <c r="B108" s="160" t="str">
        <f t="shared" si="18"/>
        <v/>
      </c>
      <c r="C108" s="473">
        <f>IF(D93="","-",+C107+1)</f>
        <v>2023</v>
      </c>
      <c r="D108" s="347">
        <f>IF(F107+SUM(E$99:E107)=D$92,F107,D$92-SUM(E$99:E107))</f>
        <v>4147755</v>
      </c>
      <c r="E108" s="485">
        <f t="shared" si="22"/>
        <v>117658</v>
      </c>
      <c r="F108" s="486">
        <f t="shared" si="23"/>
        <v>4030097</v>
      </c>
      <c r="G108" s="486">
        <f t="shared" si="24"/>
        <v>4088926</v>
      </c>
      <c r="H108" s="487">
        <f t="shared" si="27"/>
        <v>589099.92622488714</v>
      </c>
      <c r="I108" s="543">
        <f t="shared" si="28"/>
        <v>589099.92622488714</v>
      </c>
      <c r="J108" s="479">
        <f t="shared" si="19"/>
        <v>0</v>
      </c>
      <c r="K108" s="479"/>
      <c r="L108" s="488"/>
      <c r="M108" s="479">
        <f t="shared" si="26"/>
        <v>0</v>
      </c>
      <c r="N108" s="488"/>
      <c r="O108" s="479">
        <f t="shared" si="20"/>
        <v>0</v>
      </c>
      <c r="P108" s="479">
        <f t="shared" si="21"/>
        <v>0</v>
      </c>
    </row>
    <row r="109" spans="1:16" ht="12.5">
      <c r="B109" s="160" t="str">
        <f t="shared" si="18"/>
        <v/>
      </c>
      <c r="C109" s="473">
        <f>IF(D93="","-",+C108+1)</f>
        <v>2024</v>
      </c>
      <c r="D109" s="347">
        <f>IF(F108+SUM(E$99:E108)=D$92,F108,D$92-SUM(E$99:E108))</f>
        <v>4030097</v>
      </c>
      <c r="E109" s="485">
        <f t="shared" si="22"/>
        <v>117658</v>
      </c>
      <c r="F109" s="486">
        <f t="shared" si="23"/>
        <v>3912439</v>
      </c>
      <c r="G109" s="486">
        <f t="shared" si="24"/>
        <v>3971268</v>
      </c>
      <c r="H109" s="487">
        <f t="shared" si="27"/>
        <v>575534.28229888622</v>
      </c>
      <c r="I109" s="543">
        <f t="shared" si="28"/>
        <v>575534.28229888622</v>
      </c>
      <c r="J109" s="479">
        <f t="shared" si="19"/>
        <v>0</v>
      </c>
      <c r="K109" s="479"/>
      <c r="L109" s="488"/>
      <c r="M109" s="479">
        <f t="shared" si="26"/>
        <v>0</v>
      </c>
      <c r="N109" s="488"/>
      <c r="O109" s="479">
        <f t="shared" si="20"/>
        <v>0</v>
      </c>
      <c r="P109" s="479">
        <f t="shared" si="21"/>
        <v>0</v>
      </c>
    </row>
    <row r="110" spans="1:16" ht="12.5">
      <c r="B110" s="160" t="str">
        <f t="shared" si="18"/>
        <v/>
      </c>
      <c r="C110" s="473">
        <f>IF(D93="","-",+C109+1)</f>
        <v>2025</v>
      </c>
      <c r="D110" s="347">
        <f>IF(F109+SUM(E$99:E109)=D$92,F109,D$92-SUM(E$99:E109))</f>
        <v>3912439</v>
      </c>
      <c r="E110" s="485">
        <f t="shared" si="22"/>
        <v>117658</v>
      </c>
      <c r="F110" s="486">
        <f t="shared" si="23"/>
        <v>3794781</v>
      </c>
      <c r="G110" s="486">
        <f t="shared" si="24"/>
        <v>3853610</v>
      </c>
      <c r="H110" s="487">
        <f t="shared" si="27"/>
        <v>561968.63837288506</v>
      </c>
      <c r="I110" s="543">
        <f t="shared" si="28"/>
        <v>561968.63837288506</v>
      </c>
      <c r="J110" s="479">
        <f t="shared" si="19"/>
        <v>0</v>
      </c>
      <c r="K110" s="479"/>
      <c r="L110" s="488"/>
      <c r="M110" s="479">
        <f t="shared" si="26"/>
        <v>0</v>
      </c>
      <c r="N110" s="488"/>
      <c r="O110" s="479">
        <f t="shared" si="20"/>
        <v>0</v>
      </c>
      <c r="P110" s="479">
        <f t="shared" si="21"/>
        <v>0</v>
      </c>
    </row>
    <row r="111" spans="1:16" ht="12.5">
      <c r="B111" s="160" t="str">
        <f t="shared" si="18"/>
        <v/>
      </c>
      <c r="C111" s="473">
        <f>IF(D93="","-",+C110+1)</f>
        <v>2026</v>
      </c>
      <c r="D111" s="347">
        <f>IF(F110+SUM(E$99:E110)=D$92,F110,D$92-SUM(E$99:E110))</f>
        <v>3794781</v>
      </c>
      <c r="E111" s="485">
        <f t="shared" si="22"/>
        <v>117658</v>
      </c>
      <c r="F111" s="486">
        <f t="shared" si="23"/>
        <v>3677123</v>
      </c>
      <c r="G111" s="486">
        <f t="shared" si="24"/>
        <v>3735952</v>
      </c>
      <c r="H111" s="487">
        <f t="shared" si="27"/>
        <v>548402.99444688403</v>
      </c>
      <c r="I111" s="543">
        <f t="shared" si="28"/>
        <v>548402.99444688403</v>
      </c>
      <c r="J111" s="479">
        <f t="shared" si="19"/>
        <v>0</v>
      </c>
      <c r="K111" s="479"/>
      <c r="L111" s="488"/>
      <c r="M111" s="479">
        <f t="shared" si="26"/>
        <v>0</v>
      </c>
      <c r="N111" s="488"/>
      <c r="O111" s="479">
        <f t="shared" si="20"/>
        <v>0</v>
      </c>
      <c r="P111" s="479">
        <f t="shared" si="21"/>
        <v>0</v>
      </c>
    </row>
    <row r="112" spans="1:16" ht="12.5">
      <c r="B112" s="160" t="str">
        <f t="shared" si="18"/>
        <v/>
      </c>
      <c r="C112" s="473">
        <f>IF(D93="","-",+C111+1)</f>
        <v>2027</v>
      </c>
      <c r="D112" s="347">
        <f>IF(F111+SUM(E$99:E111)=D$92,F111,D$92-SUM(E$99:E111))</f>
        <v>3677123</v>
      </c>
      <c r="E112" s="485">
        <f t="shared" si="22"/>
        <v>117658</v>
      </c>
      <c r="F112" s="486">
        <f t="shared" si="23"/>
        <v>3559465</v>
      </c>
      <c r="G112" s="486">
        <f t="shared" si="24"/>
        <v>3618294</v>
      </c>
      <c r="H112" s="487">
        <f t="shared" si="27"/>
        <v>534837.35052088299</v>
      </c>
      <c r="I112" s="543">
        <f t="shared" si="28"/>
        <v>534837.35052088299</v>
      </c>
      <c r="J112" s="479">
        <f t="shared" si="19"/>
        <v>0</v>
      </c>
      <c r="K112" s="479"/>
      <c r="L112" s="488"/>
      <c r="M112" s="479">
        <f t="shared" si="26"/>
        <v>0</v>
      </c>
      <c r="N112" s="488"/>
      <c r="O112" s="479">
        <f t="shared" si="20"/>
        <v>0</v>
      </c>
      <c r="P112" s="479">
        <f t="shared" si="21"/>
        <v>0</v>
      </c>
    </row>
    <row r="113" spans="2:16" ht="12.5">
      <c r="B113" s="160" t="str">
        <f t="shared" si="18"/>
        <v/>
      </c>
      <c r="C113" s="473">
        <f>IF(D93="","-",+C112+1)</f>
        <v>2028</v>
      </c>
      <c r="D113" s="347">
        <f>IF(F112+SUM(E$99:E112)=D$92,F112,D$92-SUM(E$99:E112))</f>
        <v>3559465</v>
      </c>
      <c r="E113" s="485">
        <f t="shared" si="22"/>
        <v>117658</v>
      </c>
      <c r="F113" s="486">
        <f t="shared" si="23"/>
        <v>3441807</v>
      </c>
      <c r="G113" s="486">
        <f t="shared" si="24"/>
        <v>3500636</v>
      </c>
      <c r="H113" s="487">
        <f t="shared" si="27"/>
        <v>521271.70659488195</v>
      </c>
      <c r="I113" s="543">
        <f t="shared" si="28"/>
        <v>521271.70659488195</v>
      </c>
      <c r="J113" s="479">
        <f t="shared" si="19"/>
        <v>0</v>
      </c>
      <c r="K113" s="479"/>
      <c r="L113" s="488"/>
      <c r="M113" s="479">
        <f t="shared" si="26"/>
        <v>0</v>
      </c>
      <c r="N113" s="488"/>
      <c r="O113" s="479">
        <f t="shared" si="20"/>
        <v>0</v>
      </c>
      <c r="P113" s="479">
        <f t="shared" si="21"/>
        <v>0</v>
      </c>
    </row>
    <row r="114" spans="2:16" ht="12.5">
      <c r="B114" s="160" t="str">
        <f t="shared" si="18"/>
        <v/>
      </c>
      <c r="C114" s="473">
        <f>IF(D93="","-",+C113+1)</f>
        <v>2029</v>
      </c>
      <c r="D114" s="347">
        <f>IF(F113+SUM(E$99:E113)=D$92,F113,D$92-SUM(E$99:E113))</f>
        <v>3441807</v>
      </c>
      <c r="E114" s="485">
        <f t="shared" si="22"/>
        <v>117658</v>
      </c>
      <c r="F114" s="486">
        <f t="shared" si="23"/>
        <v>3324149</v>
      </c>
      <c r="G114" s="486">
        <f t="shared" si="24"/>
        <v>3382978</v>
      </c>
      <c r="H114" s="487">
        <f t="shared" si="27"/>
        <v>507706.06266888091</v>
      </c>
      <c r="I114" s="543">
        <f t="shared" si="28"/>
        <v>507706.06266888091</v>
      </c>
      <c r="J114" s="479">
        <f t="shared" si="19"/>
        <v>0</v>
      </c>
      <c r="K114" s="479"/>
      <c r="L114" s="488"/>
      <c r="M114" s="479">
        <f t="shared" si="26"/>
        <v>0</v>
      </c>
      <c r="N114" s="488"/>
      <c r="O114" s="479">
        <f t="shared" si="20"/>
        <v>0</v>
      </c>
      <c r="P114" s="479">
        <f t="shared" si="21"/>
        <v>0</v>
      </c>
    </row>
    <row r="115" spans="2:16" ht="12.5">
      <c r="B115" s="160" t="str">
        <f t="shared" si="18"/>
        <v/>
      </c>
      <c r="C115" s="473">
        <f>IF(D93="","-",+C114+1)</f>
        <v>2030</v>
      </c>
      <c r="D115" s="347">
        <f>IF(F114+SUM(E$99:E114)=D$92,F114,D$92-SUM(E$99:E114))</f>
        <v>3324149</v>
      </c>
      <c r="E115" s="485">
        <f t="shared" si="22"/>
        <v>117658</v>
      </c>
      <c r="F115" s="486">
        <f t="shared" si="23"/>
        <v>3206491</v>
      </c>
      <c r="G115" s="486">
        <f t="shared" si="24"/>
        <v>3265320</v>
      </c>
      <c r="H115" s="487">
        <f t="shared" si="27"/>
        <v>494140.41874287982</v>
      </c>
      <c r="I115" s="543">
        <f t="shared" si="28"/>
        <v>494140.41874287982</v>
      </c>
      <c r="J115" s="479">
        <f t="shared" si="19"/>
        <v>0</v>
      </c>
      <c r="K115" s="479"/>
      <c r="L115" s="488"/>
      <c r="M115" s="479">
        <f t="shared" si="26"/>
        <v>0</v>
      </c>
      <c r="N115" s="488"/>
      <c r="O115" s="479">
        <f t="shared" si="20"/>
        <v>0</v>
      </c>
      <c r="P115" s="479">
        <f t="shared" si="21"/>
        <v>0</v>
      </c>
    </row>
    <row r="116" spans="2:16" ht="12.5">
      <c r="B116" s="160" t="str">
        <f t="shared" si="18"/>
        <v/>
      </c>
      <c r="C116" s="473">
        <f>IF(D93="","-",+C115+1)</f>
        <v>2031</v>
      </c>
      <c r="D116" s="347">
        <f>IF(F115+SUM(E$99:E115)=D$92,F115,D$92-SUM(E$99:E115))</f>
        <v>3206491</v>
      </c>
      <c r="E116" s="485">
        <f t="shared" si="22"/>
        <v>117658</v>
      </c>
      <c r="F116" s="486">
        <f t="shared" si="23"/>
        <v>3088833</v>
      </c>
      <c r="G116" s="486">
        <f t="shared" si="24"/>
        <v>3147662</v>
      </c>
      <c r="H116" s="487">
        <f t="shared" si="27"/>
        <v>480574.77481687878</v>
      </c>
      <c r="I116" s="543">
        <f t="shared" si="28"/>
        <v>480574.77481687878</v>
      </c>
      <c r="J116" s="479">
        <f t="shared" si="19"/>
        <v>0</v>
      </c>
      <c r="K116" s="479"/>
      <c r="L116" s="488"/>
      <c r="M116" s="479">
        <f t="shared" si="26"/>
        <v>0</v>
      </c>
      <c r="N116" s="488"/>
      <c r="O116" s="479">
        <f t="shared" si="20"/>
        <v>0</v>
      </c>
      <c r="P116" s="479">
        <f t="shared" si="21"/>
        <v>0</v>
      </c>
    </row>
    <row r="117" spans="2:16" ht="12.5">
      <c r="B117" s="160" t="str">
        <f t="shared" si="18"/>
        <v/>
      </c>
      <c r="C117" s="473">
        <f>IF(D93="","-",+C116+1)</f>
        <v>2032</v>
      </c>
      <c r="D117" s="347">
        <f>IF(F116+SUM(E$99:E116)=D$92,F116,D$92-SUM(E$99:E116))</f>
        <v>3088833</v>
      </c>
      <c r="E117" s="485">
        <f t="shared" si="22"/>
        <v>117658</v>
      </c>
      <c r="F117" s="486">
        <f t="shared" si="23"/>
        <v>2971175</v>
      </c>
      <c r="G117" s="486">
        <f t="shared" si="24"/>
        <v>3030004</v>
      </c>
      <c r="H117" s="487">
        <f t="shared" si="27"/>
        <v>467009.13089087774</v>
      </c>
      <c r="I117" s="543">
        <f t="shared" si="28"/>
        <v>467009.13089087774</v>
      </c>
      <c r="J117" s="479">
        <f t="shared" si="19"/>
        <v>0</v>
      </c>
      <c r="K117" s="479"/>
      <c r="L117" s="488"/>
      <c r="M117" s="479">
        <f t="shared" si="26"/>
        <v>0</v>
      </c>
      <c r="N117" s="488"/>
      <c r="O117" s="479">
        <f t="shared" si="20"/>
        <v>0</v>
      </c>
      <c r="P117" s="479">
        <f t="shared" si="21"/>
        <v>0</v>
      </c>
    </row>
    <row r="118" spans="2:16" ht="12.5">
      <c r="B118" s="160" t="str">
        <f t="shared" si="18"/>
        <v/>
      </c>
      <c r="C118" s="473">
        <f>IF(D93="","-",+C117+1)</f>
        <v>2033</v>
      </c>
      <c r="D118" s="347">
        <f>IF(F117+SUM(E$99:E117)=D$92,F117,D$92-SUM(E$99:E117))</f>
        <v>2971175</v>
      </c>
      <c r="E118" s="485">
        <f t="shared" si="22"/>
        <v>117658</v>
      </c>
      <c r="F118" s="486">
        <f t="shared" si="23"/>
        <v>2853517</v>
      </c>
      <c r="G118" s="486">
        <f t="shared" si="24"/>
        <v>2912346</v>
      </c>
      <c r="H118" s="487">
        <f t="shared" si="27"/>
        <v>453443.48696487671</v>
      </c>
      <c r="I118" s="543">
        <f t="shared" si="28"/>
        <v>453443.48696487671</v>
      </c>
      <c r="J118" s="479">
        <f t="shared" si="19"/>
        <v>0</v>
      </c>
      <c r="K118" s="479"/>
      <c r="L118" s="488"/>
      <c r="M118" s="479">
        <f t="shared" si="26"/>
        <v>0</v>
      </c>
      <c r="N118" s="488"/>
      <c r="O118" s="479">
        <f t="shared" si="20"/>
        <v>0</v>
      </c>
      <c r="P118" s="479">
        <f t="shared" si="21"/>
        <v>0</v>
      </c>
    </row>
    <row r="119" spans="2:16" ht="12.5">
      <c r="B119" s="160" t="str">
        <f t="shared" si="18"/>
        <v/>
      </c>
      <c r="C119" s="473">
        <f>IF(D93="","-",+C118+1)</f>
        <v>2034</v>
      </c>
      <c r="D119" s="347">
        <f>IF(F118+SUM(E$99:E118)=D$92,F118,D$92-SUM(E$99:E118))</f>
        <v>2853517</v>
      </c>
      <c r="E119" s="485">
        <f t="shared" si="22"/>
        <v>117658</v>
      </c>
      <c r="F119" s="486">
        <f t="shared" si="23"/>
        <v>2735859</v>
      </c>
      <c r="G119" s="486">
        <f t="shared" si="24"/>
        <v>2794688</v>
      </c>
      <c r="H119" s="487">
        <f t="shared" si="27"/>
        <v>439877.84303887561</v>
      </c>
      <c r="I119" s="543">
        <f t="shared" si="28"/>
        <v>439877.84303887561</v>
      </c>
      <c r="J119" s="479">
        <f t="shared" si="19"/>
        <v>0</v>
      </c>
      <c r="K119" s="479"/>
      <c r="L119" s="488"/>
      <c r="M119" s="479">
        <f t="shared" si="26"/>
        <v>0</v>
      </c>
      <c r="N119" s="488"/>
      <c r="O119" s="479">
        <f t="shared" si="20"/>
        <v>0</v>
      </c>
      <c r="P119" s="479">
        <f t="shared" si="21"/>
        <v>0</v>
      </c>
    </row>
    <row r="120" spans="2:16" ht="12.5">
      <c r="B120" s="160" t="str">
        <f t="shared" si="18"/>
        <v/>
      </c>
      <c r="C120" s="473">
        <f>IF(D93="","-",+C119+1)</f>
        <v>2035</v>
      </c>
      <c r="D120" s="347">
        <f>IF(F119+SUM(E$99:E119)=D$92,F119,D$92-SUM(E$99:E119))</f>
        <v>2735859</v>
      </c>
      <c r="E120" s="485">
        <f t="shared" si="22"/>
        <v>117658</v>
      </c>
      <c r="F120" s="486">
        <f t="shared" si="23"/>
        <v>2618201</v>
      </c>
      <c r="G120" s="486">
        <f t="shared" si="24"/>
        <v>2677030</v>
      </c>
      <c r="H120" s="487">
        <f t="shared" si="27"/>
        <v>426312.19911287457</v>
      </c>
      <c r="I120" s="543">
        <f t="shared" si="28"/>
        <v>426312.19911287457</v>
      </c>
      <c r="J120" s="479">
        <f t="shared" si="19"/>
        <v>0</v>
      </c>
      <c r="K120" s="479"/>
      <c r="L120" s="488"/>
      <c r="M120" s="479">
        <f t="shared" si="26"/>
        <v>0</v>
      </c>
      <c r="N120" s="488"/>
      <c r="O120" s="479">
        <f t="shared" si="20"/>
        <v>0</v>
      </c>
      <c r="P120" s="479">
        <f t="shared" si="21"/>
        <v>0</v>
      </c>
    </row>
    <row r="121" spans="2:16" ht="12.5">
      <c r="B121" s="160" t="str">
        <f t="shared" si="18"/>
        <v/>
      </c>
      <c r="C121" s="473">
        <f>IF(D93="","-",+C120+1)</f>
        <v>2036</v>
      </c>
      <c r="D121" s="347">
        <f>IF(F120+SUM(E$99:E120)=D$92,F120,D$92-SUM(E$99:E120))</f>
        <v>2618201</v>
      </c>
      <c r="E121" s="485">
        <f t="shared" si="22"/>
        <v>117658</v>
      </c>
      <c r="F121" s="486">
        <f t="shared" si="23"/>
        <v>2500543</v>
      </c>
      <c r="G121" s="486">
        <f t="shared" si="24"/>
        <v>2559372</v>
      </c>
      <c r="H121" s="487">
        <f t="shared" si="27"/>
        <v>412746.55518687353</v>
      </c>
      <c r="I121" s="543">
        <f t="shared" si="28"/>
        <v>412746.55518687353</v>
      </c>
      <c r="J121" s="479">
        <f t="shared" si="19"/>
        <v>0</v>
      </c>
      <c r="K121" s="479"/>
      <c r="L121" s="488"/>
      <c r="M121" s="479">
        <f t="shared" si="26"/>
        <v>0</v>
      </c>
      <c r="N121" s="488"/>
      <c r="O121" s="479">
        <f t="shared" si="20"/>
        <v>0</v>
      </c>
      <c r="P121" s="479">
        <f t="shared" si="21"/>
        <v>0</v>
      </c>
    </row>
    <row r="122" spans="2:16" ht="12.5">
      <c r="B122" s="160" t="str">
        <f t="shared" si="18"/>
        <v/>
      </c>
      <c r="C122" s="473">
        <f>IF(D93="","-",+C121+1)</f>
        <v>2037</v>
      </c>
      <c r="D122" s="347">
        <f>IF(F121+SUM(E$99:E121)=D$92,F121,D$92-SUM(E$99:E121))</f>
        <v>2500543</v>
      </c>
      <c r="E122" s="485">
        <f t="shared" si="22"/>
        <v>117658</v>
      </c>
      <c r="F122" s="486">
        <f t="shared" si="23"/>
        <v>2382885</v>
      </c>
      <c r="G122" s="486">
        <f t="shared" si="24"/>
        <v>2441714</v>
      </c>
      <c r="H122" s="487">
        <f t="shared" si="27"/>
        <v>399180.9112608725</v>
      </c>
      <c r="I122" s="543">
        <f t="shared" si="28"/>
        <v>399180.9112608725</v>
      </c>
      <c r="J122" s="479">
        <f t="shared" si="19"/>
        <v>0</v>
      </c>
      <c r="K122" s="479"/>
      <c r="L122" s="488"/>
      <c r="M122" s="479">
        <f t="shared" si="26"/>
        <v>0</v>
      </c>
      <c r="N122" s="488"/>
      <c r="O122" s="479">
        <f t="shared" si="20"/>
        <v>0</v>
      </c>
      <c r="P122" s="479">
        <f t="shared" si="21"/>
        <v>0</v>
      </c>
    </row>
    <row r="123" spans="2:16" ht="12.5">
      <c r="B123" s="160" t="str">
        <f t="shared" si="18"/>
        <v/>
      </c>
      <c r="C123" s="473">
        <f>IF(D93="","-",+C122+1)</f>
        <v>2038</v>
      </c>
      <c r="D123" s="347">
        <f>IF(F122+SUM(E$99:E122)=D$92,F122,D$92-SUM(E$99:E122))</f>
        <v>2382885</v>
      </c>
      <c r="E123" s="485">
        <f t="shared" si="22"/>
        <v>117658</v>
      </c>
      <c r="F123" s="486">
        <f t="shared" si="23"/>
        <v>2265227</v>
      </c>
      <c r="G123" s="486">
        <f t="shared" si="24"/>
        <v>2324056</v>
      </c>
      <c r="H123" s="487">
        <f t="shared" si="27"/>
        <v>385615.2673348714</v>
      </c>
      <c r="I123" s="543">
        <f t="shared" si="28"/>
        <v>385615.2673348714</v>
      </c>
      <c r="J123" s="479">
        <f t="shared" si="19"/>
        <v>0</v>
      </c>
      <c r="K123" s="479"/>
      <c r="L123" s="488"/>
      <c r="M123" s="479">
        <f t="shared" si="26"/>
        <v>0</v>
      </c>
      <c r="N123" s="488"/>
      <c r="O123" s="479">
        <f t="shared" si="20"/>
        <v>0</v>
      </c>
      <c r="P123" s="479">
        <f t="shared" si="21"/>
        <v>0</v>
      </c>
    </row>
    <row r="124" spans="2:16" ht="12.5">
      <c r="B124" s="160" t="str">
        <f t="shared" si="18"/>
        <v/>
      </c>
      <c r="C124" s="473">
        <f>IF(D93="","-",+C123+1)</f>
        <v>2039</v>
      </c>
      <c r="D124" s="347">
        <f>IF(F123+SUM(E$99:E123)=D$92,F123,D$92-SUM(E$99:E123))</f>
        <v>2265227</v>
      </c>
      <c r="E124" s="485">
        <f t="shared" si="22"/>
        <v>117658</v>
      </c>
      <c r="F124" s="486">
        <f t="shared" si="23"/>
        <v>2147569</v>
      </c>
      <c r="G124" s="486">
        <f t="shared" si="24"/>
        <v>2206398</v>
      </c>
      <c r="H124" s="487">
        <f t="shared" si="27"/>
        <v>372049.62340887036</v>
      </c>
      <c r="I124" s="543">
        <f t="shared" si="28"/>
        <v>372049.62340887036</v>
      </c>
      <c r="J124" s="479">
        <f t="shared" si="19"/>
        <v>0</v>
      </c>
      <c r="K124" s="479"/>
      <c r="L124" s="488"/>
      <c r="M124" s="479">
        <f t="shared" si="26"/>
        <v>0</v>
      </c>
      <c r="N124" s="488"/>
      <c r="O124" s="479">
        <f t="shared" si="20"/>
        <v>0</v>
      </c>
      <c r="P124" s="479">
        <f t="shared" si="21"/>
        <v>0</v>
      </c>
    </row>
    <row r="125" spans="2:16" ht="12.5">
      <c r="B125" s="160" t="str">
        <f t="shared" si="18"/>
        <v/>
      </c>
      <c r="C125" s="473">
        <f>IF(D93="","-",+C124+1)</f>
        <v>2040</v>
      </c>
      <c r="D125" s="347">
        <f>IF(F124+SUM(E$99:E124)=D$92,F124,D$92-SUM(E$99:E124))</f>
        <v>2147569</v>
      </c>
      <c r="E125" s="485">
        <f t="shared" si="22"/>
        <v>117658</v>
      </c>
      <c r="F125" s="486">
        <f t="shared" si="23"/>
        <v>2029911</v>
      </c>
      <c r="G125" s="486">
        <f t="shared" si="24"/>
        <v>2088740</v>
      </c>
      <c r="H125" s="487">
        <f t="shared" si="27"/>
        <v>358483.97948286933</v>
      </c>
      <c r="I125" s="543">
        <f t="shared" si="28"/>
        <v>358483.97948286933</v>
      </c>
      <c r="J125" s="479">
        <f t="shared" si="19"/>
        <v>0</v>
      </c>
      <c r="K125" s="479"/>
      <c r="L125" s="488"/>
      <c r="M125" s="479">
        <f t="shared" si="26"/>
        <v>0</v>
      </c>
      <c r="N125" s="488"/>
      <c r="O125" s="479">
        <f t="shared" si="20"/>
        <v>0</v>
      </c>
      <c r="P125" s="479">
        <f t="shared" si="21"/>
        <v>0</v>
      </c>
    </row>
    <row r="126" spans="2:16" ht="12.5">
      <c r="B126" s="160" t="str">
        <f t="shared" si="18"/>
        <v/>
      </c>
      <c r="C126" s="473">
        <f>IF(D93="","-",+C125+1)</f>
        <v>2041</v>
      </c>
      <c r="D126" s="347">
        <f>IF(F125+SUM(E$99:E125)=D$92,F125,D$92-SUM(E$99:E125))</f>
        <v>2029911</v>
      </c>
      <c r="E126" s="485">
        <f t="shared" si="22"/>
        <v>117658</v>
      </c>
      <c r="F126" s="486">
        <f t="shared" si="23"/>
        <v>1912253</v>
      </c>
      <c r="G126" s="486">
        <f t="shared" si="24"/>
        <v>1971082</v>
      </c>
      <c r="H126" s="487">
        <f t="shared" si="27"/>
        <v>344918.33555686823</v>
      </c>
      <c r="I126" s="543">
        <f t="shared" si="28"/>
        <v>344918.33555686823</v>
      </c>
      <c r="J126" s="479">
        <f t="shared" si="19"/>
        <v>0</v>
      </c>
      <c r="K126" s="479"/>
      <c r="L126" s="488"/>
      <c r="M126" s="479">
        <f t="shared" si="26"/>
        <v>0</v>
      </c>
      <c r="N126" s="488"/>
      <c r="O126" s="479">
        <f t="shared" si="20"/>
        <v>0</v>
      </c>
      <c r="P126" s="479">
        <f t="shared" si="21"/>
        <v>0</v>
      </c>
    </row>
    <row r="127" spans="2:16" ht="12.5">
      <c r="B127" s="160" t="str">
        <f t="shared" si="18"/>
        <v/>
      </c>
      <c r="C127" s="473">
        <f>IF(D93="","-",+C126+1)</f>
        <v>2042</v>
      </c>
      <c r="D127" s="347">
        <f>IF(F126+SUM(E$99:E126)=D$92,F126,D$92-SUM(E$99:E126))</f>
        <v>1912253</v>
      </c>
      <c r="E127" s="485">
        <f t="shared" si="22"/>
        <v>117658</v>
      </c>
      <c r="F127" s="486">
        <f t="shared" si="23"/>
        <v>1794595</v>
      </c>
      <c r="G127" s="486">
        <f t="shared" si="24"/>
        <v>1853424</v>
      </c>
      <c r="H127" s="487">
        <f t="shared" si="27"/>
        <v>331352.69163086719</v>
      </c>
      <c r="I127" s="543">
        <f t="shared" si="28"/>
        <v>331352.69163086719</v>
      </c>
      <c r="J127" s="479">
        <f t="shared" si="19"/>
        <v>0</v>
      </c>
      <c r="K127" s="479"/>
      <c r="L127" s="488"/>
      <c r="M127" s="479">
        <f t="shared" si="26"/>
        <v>0</v>
      </c>
      <c r="N127" s="488"/>
      <c r="O127" s="479">
        <f t="shared" si="20"/>
        <v>0</v>
      </c>
      <c r="P127" s="479">
        <f t="shared" si="21"/>
        <v>0</v>
      </c>
    </row>
    <row r="128" spans="2:16" ht="12.5">
      <c r="B128" s="160" t="str">
        <f t="shared" si="18"/>
        <v/>
      </c>
      <c r="C128" s="473">
        <f>IF(D93="","-",+C127+1)</f>
        <v>2043</v>
      </c>
      <c r="D128" s="347">
        <f>IF(F127+SUM(E$99:E127)=D$92,F127,D$92-SUM(E$99:E127))</f>
        <v>1794595</v>
      </c>
      <c r="E128" s="485">
        <f t="shared" si="22"/>
        <v>117658</v>
      </c>
      <c r="F128" s="486">
        <f t="shared" si="23"/>
        <v>1676937</v>
      </c>
      <c r="G128" s="486">
        <f t="shared" si="24"/>
        <v>1735766</v>
      </c>
      <c r="H128" s="487">
        <f t="shared" si="27"/>
        <v>317787.04770486616</v>
      </c>
      <c r="I128" s="543">
        <f t="shared" si="28"/>
        <v>317787.04770486616</v>
      </c>
      <c r="J128" s="479">
        <f t="shared" si="19"/>
        <v>0</v>
      </c>
      <c r="K128" s="479"/>
      <c r="L128" s="488"/>
      <c r="M128" s="479">
        <f t="shared" si="26"/>
        <v>0</v>
      </c>
      <c r="N128" s="488"/>
      <c r="O128" s="479">
        <f t="shared" si="20"/>
        <v>0</v>
      </c>
      <c r="P128" s="479">
        <f t="shared" si="21"/>
        <v>0</v>
      </c>
    </row>
    <row r="129" spans="2:16" ht="12.5">
      <c r="B129" s="160" t="str">
        <f t="shared" si="18"/>
        <v/>
      </c>
      <c r="C129" s="473">
        <f>IF(D93="","-",+C128+1)</f>
        <v>2044</v>
      </c>
      <c r="D129" s="347">
        <f>IF(F128+SUM(E$99:E128)=D$92,F128,D$92-SUM(E$99:E128))</f>
        <v>1676937</v>
      </c>
      <c r="E129" s="485">
        <f t="shared" si="22"/>
        <v>117658</v>
      </c>
      <c r="F129" s="486">
        <f t="shared" si="23"/>
        <v>1559279</v>
      </c>
      <c r="G129" s="486">
        <f t="shared" si="24"/>
        <v>1618108</v>
      </c>
      <c r="H129" s="487">
        <f t="shared" si="27"/>
        <v>304221.40377886512</v>
      </c>
      <c r="I129" s="543">
        <f t="shared" si="28"/>
        <v>304221.40377886512</v>
      </c>
      <c r="J129" s="479">
        <f t="shared" si="19"/>
        <v>0</v>
      </c>
      <c r="K129" s="479"/>
      <c r="L129" s="488"/>
      <c r="M129" s="479">
        <f t="shared" si="26"/>
        <v>0</v>
      </c>
      <c r="N129" s="488"/>
      <c r="O129" s="479">
        <f t="shared" si="20"/>
        <v>0</v>
      </c>
      <c r="P129" s="479">
        <f t="shared" si="21"/>
        <v>0</v>
      </c>
    </row>
    <row r="130" spans="2:16" ht="12.5">
      <c r="B130" s="160" t="str">
        <f t="shared" si="18"/>
        <v/>
      </c>
      <c r="C130" s="473">
        <f>IF(D93="","-",+C129+1)</f>
        <v>2045</v>
      </c>
      <c r="D130" s="347">
        <f>IF(F129+SUM(E$99:E129)=D$92,F129,D$92-SUM(E$99:E129))</f>
        <v>1559279</v>
      </c>
      <c r="E130" s="485">
        <f t="shared" si="22"/>
        <v>117658</v>
      </c>
      <c r="F130" s="486">
        <f t="shared" si="23"/>
        <v>1441621</v>
      </c>
      <c r="G130" s="486">
        <f t="shared" si="24"/>
        <v>1500450</v>
      </c>
      <c r="H130" s="487">
        <f t="shared" si="27"/>
        <v>290655.75985286408</v>
      </c>
      <c r="I130" s="543">
        <f t="shared" si="28"/>
        <v>290655.75985286408</v>
      </c>
      <c r="J130" s="479">
        <f t="shared" si="19"/>
        <v>0</v>
      </c>
      <c r="K130" s="479"/>
      <c r="L130" s="488"/>
      <c r="M130" s="479">
        <f t="shared" si="26"/>
        <v>0</v>
      </c>
      <c r="N130" s="488"/>
      <c r="O130" s="479">
        <f t="shared" si="20"/>
        <v>0</v>
      </c>
      <c r="P130" s="479">
        <f t="shared" si="21"/>
        <v>0</v>
      </c>
    </row>
    <row r="131" spans="2:16" ht="12.5">
      <c r="B131" s="160" t="str">
        <f t="shared" si="18"/>
        <v/>
      </c>
      <c r="C131" s="473">
        <f>IF(D93="","-",+C130+1)</f>
        <v>2046</v>
      </c>
      <c r="D131" s="347">
        <f>IF(F130+SUM(E$99:E130)=D$92,F130,D$92-SUM(E$99:E130))</f>
        <v>1441621</v>
      </c>
      <c r="E131" s="485">
        <f t="shared" si="22"/>
        <v>117658</v>
      </c>
      <c r="F131" s="486">
        <f t="shared" si="23"/>
        <v>1323963</v>
      </c>
      <c r="G131" s="486">
        <f t="shared" si="24"/>
        <v>1382792</v>
      </c>
      <c r="H131" s="487">
        <f t="shared" si="27"/>
        <v>277090.11592686304</v>
      </c>
      <c r="I131" s="543">
        <f t="shared" si="28"/>
        <v>277090.11592686304</v>
      </c>
      <c r="J131" s="479">
        <f t="shared" si="19"/>
        <v>0</v>
      </c>
      <c r="K131" s="479"/>
      <c r="L131" s="488"/>
      <c r="M131" s="479">
        <f t="shared" ref="M131:M154" si="29">IF(L541&lt;&gt;0,+H541-L541,0)</f>
        <v>0</v>
      </c>
      <c r="N131" s="488"/>
      <c r="O131" s="479">
        <f t="shared" ref="O131:O154" si="30">IF(N541&lt;&gt;0,+I541-N541,0)</f>
        <v>0</v>
      </c>
      <c r="P131" s="479">
        <f t="shared" ref="P131:P154" si="31">+O541-M541</f>
        <v>0</v>
      </c>
    </row>
    <row r="132" spans="2:16" ht="12.5">
      <c r="B132" s="160" t="str">
        <f t="shared" si="18"/>
        <v/>
      </c>
      <c r="C132" s="473">
        <f>IF(D93="","-",+C131+1)</f>
        <v>2047</v>
      </c>
      <c r="D132" s="347">
        <f>IF(F131+SUM(E$99:E131)=D$92,F131,D$92-SUM(E$99:E131))</f>
        <v>1323963</v>
      </c>
      <c r="E132" s="485">
        <f t="shared" si="22"/>
        <v>117658</v>
      </c>
      <c r="F132" s="486">
        <f t="shared" si="23"/>
        <v>1206305</v>
      </c>
      <c r="G132" s="486">
        <f t="shared" si="24"/>
        <v>1265134</v>
      </c>
      <c r="H132" s="487">
        <f t="shared" si="27"/>
        <v>263524.47200086195</v>
      </c>
      <c r="I132" s="543">
        <f t="shared" si="28"/>
        <v>263524.47200086195</v>
      </c>
      <c r="J132" s="479">
        <f t="shared" si="19"/>
        <v>0</v>
      </c>
      <c r="K132" s="479"/>
      <c r="L132" s="488"/>
      <c r="M132" s="479">
        <f t="shared" si="29"/>
        <v>0</v>
      </c>
      <c r="N132" s="488"/>
      <c r="O132" s="479">
        <f t="shared" si="30"/>
        <v>0</v>
      </c>
      <c r="P132" s="479">
        <f t="shared" si="31"/>
        <v>0</v>
      </c>
    </row>
    <row r="133" spans="2:16" ht="12.5">
      <c r="B133" s="160" t="str">
        <f t="shared" si="18"/>
        <v/>
      </c>
      <c r="C133" s="473">
        <f>IF(D93="","-",+C132+1)</f>
        <v>2048</v>
      </c>
      <c r="D133" s="347">
        <f>IF(F132+SUM(E$99:E132)=D$92,F132,D$92-SUM(E$99:E132))</f>
        <v>1206305</v>
      </c>
      <c r="E133" s="485">
        <f t="shared" si="22"/>
        <v>117658</v>
      </c>
      <c r="F133" s="486">
        <f t="shared" si="23"/>
        <v>1088647</v>
      </c>
      <c r="G133" s="486">
        <f t="shared" si="24"/>
        <v>1147476</v>
      </c>
      <c r="H133" s="487">
        <f t="shared" si="27"/>
        <v>249958.82807486091</v>
      </c>
      <c r="I133" s="543">
        <f t="shared" si="28"/>
        <v>249958.82807486091</v>
      </c>
      <c r="J133" s="479">
        <f t="shared" si="19"/>
        <v>0</v>
      </c>
      <c r="K133" s="479"/>
      <c r="L133" s="488"/>
      <c r="M133" s="479">
        <f t="shared" si="29"/>
        <v>0</v>
      </c>
      <c r="N133" s="488"/>
      <c r="O133" s="479">
        <f t="shared" si="30"/>
        <v>0</v>
      </c>
      <c r="P133" s="479">
        <f t="shared" si="31"/>
        <v>0</v>
      </c>
    </row>
    <row r="134" spans="2:16" ht="12.5">
      <c r="B134" s="160" t="str">
        <f t="shared" si="18"/>
        <v/>
      </c>
      <c r="C134" s="473">
        <f>IF(D93="","-",+C133+1)</f>
        <v>2049</v>
      </c>
      <c r="D134" s="347">
        <f>IF(F133+SUM(E$99:E133)=D$92,F133,D$92-SUM(E$99:E133))</f>
        <v>1088647</v>
      </c>
      <c r="E134" s="485">
        <f t="shared" si="22"/>
        <v>117658</v>
      </c>
      <c r="F134" s="486">
        <f t="shared" si="23"/>
        <v>970989</v>
      </c>
      <c r="G134" s="486">
        <f t="shared" si="24"/>
        <v>1029818</v>
      </c>
      <c r="H134" s="487">
        <f t="shared" si="27"/>
        <v>236393.18414885984</v>
      </c>
      <c r="I134" s="543">
        <f t="shared" si="28"/>
        <v>236393.18414885984</v>
      </c>
      <c r="J134" s="479">
        <f t="shared" si="19"/>
        <v>0</v>
      </c>
      <c r="K134" s="479"/>
      <c r="L134" s="488"/>
      <c r="M134" s="479">
        <f t="shared" si="29"/>
        <v>0</v>
      </c>
      <c r="N134" s="488"/>
      <c r="O134" s="479">
        <f t="shared" si="30"/>
        <v>0</v>
      </c>
      <c r="P134" s="479">
        <f t="shared" si="31"/>
        <v>0</v>
      </c>
    </row>
    <row r="135" spans="2:16" ht="12.5">
      <c r="B135" s="160" t="str">
        <f t="shared" si="18"/>
        <v/>
      </c>
      <c r="C135" s="473">
        <f>IF(D93="","-",+C134+1)</f>
        <v>2050</v>
      </c>
      <c r="D135" s="347">
        <f>IF(F134+SUM(E$99:E134)=D$92,F134,D$92-SUM(E$99:E134))</f>
        <v>970989</v>
      </c>
      <c r="E135" s="485">
        <f t="shared" si="22"/>
        <v>117658</v>
      </c>
      <c r="F135" s="486">
        <f t="shared" si="23"/>
        <v>853331</v>
      </c>
      <c r="G135" s="486">
        <f t="shared" si="24"/>
        <v>912160</v>
      </c>
      <c r="H135" s="487">
        <f t="shared" si="27"/>
        <v>222827.54022285878</v>
      </c>
      <c r="I135" s="543">
        <f t="shared" si="28"/>
        <v>222827.54022285878</v>
      </c>
      <c r="J135" s="479">
        <f t="shared" si="19"/>
        <v>0</v>
      </c>
      <c r="K135" s="479"/>
      <c r="L135" s="488"/>
      <c r="M135" s="479">
        <f t="shared" si="29"/>
        <v>0</v>
      </c>
      <c r="N135" s="488"/>
      <c r="O135" s="479">
        <f t="shared" si="30"/>
        <v>0</v>
      </c>
      <c r="P135" s="479">
        <f t="shared" si="31"/>
        <v>0</v>
      </c>
    </row>
    <row r="136" spans="2:16" ht="12.5">
      <c r="B136" s="160" t="str">
        <f t="shared" si="18"/>
        <v/>
      </c>
      <c r="C136" s="473">
        <f>IF(D93="","-",+C135+1)</f>
        <v>2051</v>
      </c>
      <c r="D136" s="347">
        <f>IF(F135+SUM(E$99:E135)=D$92,F135,D$92-SUM(E$99:E135))</f>
        <v>853331</v>
      </c>
      <c r="E136" s="485">
        <f t="shared" si="22"/>
        <v>117658</v>
      </c>
      <c r="F136" s="486">
        <f t="shared" si="23"/>
        <v>735673</v>
      </c>
      <c r="G136" s="486">
        <f t="shared" si="24"/>
        <v>794502</v>
      </c>
      <c r="H136" s="487">
        <f t="shared" si="27"/>
        <v>209261.89629685774</v>
      </c>
      <c r="I136" s="543">
        <f t="shared" si="28"/>
        <v>209261.89629685774</v>
      </c>
      <c r="J136" s="479">
        <f t="shared" si="19"/>
        <v>0</v>
      </c>
      <c r="K136" s="479"/>
      <c r="L136" s="488"/>
      <c r="M136" s="479">
        <f t="shared" si="29"/>
        <v>0</v>
      </c>
      <c r="N136" s="488"/>
      <c r="O136" s="479">
        <f t="shared" si="30"/>
        <v>0</v>
      </c>
      <c r="P136" s="479">
        <f t="shared" si="31"/>
        <v>0</v>
      </c>
    </row>
    <row r="137" spans="2:16" ht="12.5">
      <c r="B137" s="160" t="str">
        <f t="shared" si="18"/>
        <v/>
      </c>
      <c r="C137" s="473">
        <f>IF(D93="","-",+C136+1)</f>
        <v>2052</v>
      </c>
      <c r="D137" s="347">
        <f>IF(F136+SUM(E$99:E136)=D$92,F136,D$92-SUM(E$99:E136))</f>
        <v>735673</v>
      </c>
      <c r="E137" s="485">
        <f t="shared" si="22"/>
        <v>117658</v>
      </c>
      <c r="F137" s="486">
        <f t="shared" si="23"/>
        <v>618015</v>
      </c>
      <c r="G137" s="486">
        <f t="shared" si="24"/>
        <v>676844</v>
      </c>
      <c r="H137" s="487">
        <f t="shared" si="27"/>
        <v>195696.2523708567</v>
      </c>
      <c r="I137" s="543">
        <f t="shared" si="28"/>
        <v>195696.2523708567</v>
      </c>
      <c r="J137" s="479">
        <f t="shared" si="19"/>
        <v>0</v>
      </c>
      <c r="K137" s="479"/>
      <c r="L137" s="488"/>
      <c r="M137" s="479">
        <f t="shared" si="29"/>
        <v>0</v>
      </c>
      <c r="N137" s="488"/>
      <c r="O137" s="479">
        <f t="shared" si="30"/>
        <v>0</v>
      </c>
      <c r="P137" s="479">
        <f t="shared" si="31"/>
        <v>0</v>
      </c>
    </row>
    <row r="138" spans="2:16" ht="12.5">
      <c r="B138" s="160" t="str">
        <f t="shared" si="18"/>
        <v/>
      </c>
      <c r="C138" s="473">
        <f>IF(D93="","-",+C137+1)</f>
        <v>2053</v>
      </c>
      <c r="D138" s="347">
        <f>IF(F137+SUM(E$99:E137)=D$92,F137,D$92-SUM(E$99:E137))</f>
        <v>618015</v>
      </c>
      <c r="E138" s="485">
        <f t="shared" si="22"/>
        <v>117658</v>
      </c>
      <c r="F138" s="486">
        <f t="shared" si="23"/>
        <v>500357</v>
      </c>
      <c r="G138" s="486">
        <f t="shared" si="24"/>
        <v>559186</v>
      </c>
      <c r="H138" s="487">
        <f t="shared" si="27"/>
        <v>182130.60844485564</v>
      </c>
      <c r="I138" s="543">
        <f t="shared" si="28"/>
        <v>182130.60844485564</v>
      </c>
      <c r="J138" s="479">
        <f t="shared" si="19"/>
        <v>0</v>
      </c>
      <c r="K138" s="479"/>
      <c r="L138" s="488"/>
      <c r="M138" s="479">
        <f t="shared" si="29"/>
        <v>0</v>
      </c>
      <c r="N138" s="488"/>
      <c r="O138" s="479">
        <f t="shared" si="30"/>
        <v>0</v>
      </c>
      <c r="P138" s="479">
        <f t="shared" si="31"/>
        <v>0</v>
      </c>
    </row>
    <row r="139" spans="2:16" ht="12.5">
      <c r="B139" s="160" t="str">
        <f t="shared" si="18"/>
        <v/>
      </c>
      <c r="C139" s="473">
        <f>IF(D93="","-",+C138+1)</f>
        <v>2054</v>
      </c>
      <c r="D139" s="347">
        <f>IF(F138+SUM(E$99:E138)=D$92,F138,D$92-SUM(E$99:E138))</f>
        <v>500357</v>
      </c>
      <c r="E139" s="485">
        <f t="shared" si="22"/>
        <v>117658</v>
      </c>
      <c r="F139" s="486">
        <f t="shared" si="23"/>
        <v>382699</v>
      </c>
      <c r="G139" s="486">
        <f t="shared" si="24"/>
        <v>441528</v>
      </c>
      <c r="H139" s="487">
        <f t="shared" si="27"/>
        <v>168564.96451885457</v>
      </c>
      <c r="I139" s="543">
        <f t="shared" si="28"/>
        <v>168564.96451885457</v>
      </c>
      <c r="J139" s="479">
        <f t="shared" si="19"/>
        <v>0</v>
      </c>
      <c r="K139" s="479"/>
      <c r="L139" s="488"/>
      <c r="M139" s="479">
        <f t="shared" si="29"/>
        <v>0</v>
      </c>
      <c r="N139" s="488"/>
      <c r="O139" s="479">
        <f t="shared" si="30"/>
        <v>0</v>
      </c>
      <c r="P139" s="479">
        <f t="shared" si="31"/>
        <v>0</v>
      </c>
    </row>
    <row r="140" spans="2:16" ht="12.5">
      <c r="B140" s="160" t="str">
        <f t="shared" si="18"/>
        <v/>
      </c>
      <c r="C140" s="473">
        <f>IF(D93="","-",+C139+1)</f>
        <v>2055</v>
      </c>
      <c r="D140" s="347">
        <f>IF(F139+SUM(E$99:E139)=D$92,F139,D$92-SUM(E$99:E139))</f>
        <v>382699</v>
      </c>
      <c r="E140" s="485">
        <f t="shared" si="22"/>
        <v>117658</v>
      </c>
      <c r="F140" s="486">
        <f t="shared" si="23"/>
        <v>265041</v>
      </c>
      <c r="G140" s="486">
        <f t="shared" si="24"/>
        <v>323870</v>
      </c>
      <c r="H140" s="487">
        <f t="shared" si="27"/>
        <v>154999.32059285353</v>
      </c>
      <c r="I140" s="543">
        <f t="shared" si="28"/>
        <v>154999.32059285353</v>
      </c>
      <c r="J140" s="479">
        <f t="shared" si="19"/>
        <v>0</v>
      </c>
      <c r="K140" s="479"/>
      <c r="L140" s="488"/>
      <c r="M140" s="479">
        <f t="shared" si="29"/>
        <v>0</v>
      </c>
      <c r="N140" s="488"/>
      <c r="O140" s="479">
        <f t="shared" si="30"/>
        <v>0</v>
      </c>
      <c r="P140" s="479">
        <f t="shared" si="31"/>
        <v>0</v>
      </c>
    </row>
    <row r="141" spans="2:16" ht="12.5">
      <c r="B141" s="160" t="str">
        <f t="shared" si="18"/>
        <v/>
      </c>
      <c r="C141" s="473">
        <f>IF(D93="","-",+C140+1)</f>
        <v>2056</v>
      </c>
      <c r="D141" s="347">
        <f>IF(F140+SUM(E$99:E140)=D$92,F140,D$92-SUM(E$99:E140))</f>
        <v>265041</v>
      </c>
      <c r="E141" s="485">
        <f t="shared" si="22"/>
        <v>117658</v>
      </c>
      <c r="F141" s="486">
        <f t="shared" si="23"/>
        <v>147383</v>
      </c>
      <c r="G141" s="486">
        <f t="shared" si="24"/>
        <v>206212</v>
      </c>
      <c r="H141" s="487">
        <f t="shared" si="27"/>
        <v>141433.67666685249</v>
      </c>
      <c r="I141" s="543">
        <f t="shared" si="28"/>
        <v>141433.67666685249</v>
      </c>
      <c r="J141" s="479">
        <f t="shared" si="19"/>
        <v>0</v>
      </c>
      <c r="K141" s="479"/>
      <c r="L141" s="488"/>
      <c r="M141" s="479">
        <f t="shared" si="29"/>
        <v>0</v>
      </c>
      <c r="N141" s="488"/>
      <c r="O141" s="479">
        <f t="shared" si="30"/>
        <v>0</v>
      </c>
      <c r="P141" s="479">
        <f t="shared" si="31"/>
        <v>0</v>
      </c>
    </row>
    <row r="142" spans="2:16" ht="12.5">
      <c r="B142" s="160" t="str">
        <f t="shared" si="18"/>
        <v/>
      </c>
      <c r="C142" s="473">
        <f>IF(D93="","-",+C141+1)</f>
        <v>2057</v>
      </c>
      <c r="D142" s="347">
        <f>IF(F141+SUM(E$99:E141)=D$92,F141,D$92-SUM(E$99:E141))</f>
        <v>147383</v>
      </c>
      <c r="E142" s="485">
        <f t="shared" si="22"/>
        <v>117658</v>
      </c>
      <c r="F142" s="486">
        <f t="shared" si="23"/>
        <v>29725</v>
      </c>
      <c r="G142" s="486">
        <f t="shared" si="24"/>
        <v>88554</v>
      </c>
      <c r="H142" s="487">
        <f t="shared" si="27"/>
        <v>127868.03274085143</v>
      </c>
      <c r="I142" s="543">
        <f t="shared" si="28"/>
        <v>127868.03274085143</v>
      </c>
      <c r="J142" s="479">
        <f t="shared" si="19"/>
        <v>0</v>
      </c>
      <c r="K142" s="479"/>
      <c r="L142" s="488"/>
      <c r="M142" s="479">
        <f t="shared" si="29"/>
        <v>0</v>
      </c>
      <c r="N142" s="488"/>
      <c r="O142" s="479">
        <f t="shared" si="30"/>
        <v>0</v>
      </c>
      <c r="P142" s="479">
        <f t="shared" si="31"/>
        <v>0</v>
      </c>
    </row>
    <row r="143" spans="2:16" ht="12.5">
      <c r="B143" s="160" t="str">
        <f t="shared" si="18"/>
        <v/>
      </c>
      <c r="C143" s="473">
        <f>IF(D93="","-",+C142+1)</f>
        <v>2058</v>
      </c>
      <c r="D143" s="347">
        <f>IF(F142+SUM(E$99:E142)=D$92,F142,D$92-SUM(E$99:E142))</f>
        <v>29725</v>
      </c>
      <c r="E143" s="485">
        <f t="shared" si="22"/>
        <v>29725</v>
      </c>
      <c r="F143" s="486">
        <f t="shared" si="23"/>
        <v>0</v>
      </c>
      <c r="G143" s="486">
        <f t="shared" si="24"/>
        <v>14862.5</v>
      </c>
      <c r="H143" s="487">
        <f t="shared" si="27"/>
        <v>31438.605388925451</v>
      </c>
      <c r="I143" s="543">
        <f t="shared" si="28"/>
        <v>31438.605388925451</v>
      </c>
      <c r="J143" s="479">
        <f t="shared" si="19"/>
        <v>0</v>
      </c>
      <c r="K143" s="479"/>
      <c r="L143" s="488"/>
      <c r="M143" s="479">
        <f t="shared" si="29"/>
        <v>0</v>
      </c>
      <c r="N143" s="488"/>
      <c r="O143" s="479">
        <f t="shared" si="30"/>
        <v>0</v>
      </c>
      <c r="P143" s="479">
        <f t="shared" si="31"/>
        <v>0</v>
      </c>
    </row>
    <row r="144" spans="2:16" ht="12.5">
      <c r="B144" s="160" t="str">
        <f t="shared" si="18"/>
        <v/>
      </c>
      <c r="C144" s="473">
        <f>IF(D93="","-",+C143+1)</f>
        <v>2059</v>
      </c>
      <c r="D144" s="347">
        <f>IF(F143+SUM(E$99:E143)=D$92,F143,D$92-SUM(E$99:E143))</f>
        <v>0</v>
      </c>
      <c r="E144" s="485">
        <f t="shared" si="22"/>
        <v>0</v>
      </c>
      <c r="F144" s="486">
        <f t="shared" si="23"/>
        <v>0</v>
      </c>
      <c r="G144" s="486">
        <f t="shared" si="24"/>
        <v>0</v>
      </c>
      <c r="H144" s="487">
        <f t="shared" si="27"/>
        <v>0</v>
      </c>
      <c r="I144" s="543">
        <f t="shared" si="28"/>
        <v>0</v>
      </c>
      <c r="J144" s="479">
        <f t="shared" si="19"/>
        <v>0</v>
      </c>
      <c r="K144" s="479"/>
      <c r="L144" s="488"/>
      <c r="M144" s="479">
        <f t="shared" si="29"/>
        <v>0</v>
      </c>
      <c r="N144" s="488"/>
      <c r="O144" s="479">
        <f t="shared" si="30"/>
        <v>0</v>
      </c>
      <c r="P144" s="479">
        <f t="shared" si="31"/>
        <v>0</v>
      </c>
    </row>
    <row r="145" spans="2:16" ht="12.5">
      <c r="B145" s="160" t="str">
        <f t="shared" si="18"/>
        <v/>
      </c>
      <c r="C145" s="473">
        <f>IF(D93="","-",+C144+1)</f>
        <v>2060</v>
      </c>
      <c r="D145" s="347">
        <f>IF(F144+SUM(E$99:E144)=D$92,F144,D$92-SUM(E$99:E144))</f>
        <v>0</v>
      </c>
      <c r="E145" s="485">
        <f t="shared" si="22"/>
        <v>0</v>
      </c>
      <c r="F145" s="486">
        <f t="shared" si="23"/>
        <v>0</v>
      </c>
      <c r="G145" s="486">
        <f t="shared" si="24"/>
        <v>0</v>
      </c>
      <c r="H145" s="487">
        <f t="shared" si="27"/>
        <v>0</v>
      </c>
      <c r="I145" s="543">
        <f t="shared" si="28"/>
        <v>0</v>
      </c>
      <c r="J145" s="479">
        <f t="shared" si="19"/>
        <v>0</v>
      </c>
      <c r="K145" s="479"/>
      <c r="L145" s="488"/>
      <c r="M145" s="479">
        <f t="shared" si="29"/>
        <v>0</v>
      </c>
      <c r="N145" s="488"/>
      <c r="O145" s="479">
        <f t="shared" si="30"/>
        <v>0</v>
      </c>
      <c r="P145" s="479">
        <f t="shared" si="31"/>
        <v>0</v>
      </c>
    </row>
    <row r="146" spans="2:16" ht="12.5">
      <c r="B146" s="160" t="str">
        <f t="shared" si="18"/>
        <v/>
      </c>
      <c r="C146" s="473">
        <f>IF(D93="","-",+C145+1)</f>
        <v>2061</v>
      </c>
      <c r="D146" s="347">
        <f>IF(F145+SUM(E$99:E145)=D$92,F145,D$92-SUM(E$99:E145))</f>
        <v>0</v>
      </c>
      <c r="E146" s="485">
        <f t="shared" si="22"/>
        <v>0</v>
      </c>
      <c r="F146" s="486">
        <f t="shared" si="23"/>
        <v>0</v>
      </c>
      <c r="G146" s="486">
        <f t="shared" si="24"/>
        <v>0</v>
      </c>
      <c r="H146" s="487">
        <f t="shared" si="27"/>
        <v>0</v>
      </c>
      <c r="I146" s="543">
        <f t="shared" si="28"/>
        <v>0</v>
      </c>
      <c r="J146" s="479">
        <f t="shared" si="19"/>
        <v>0</v>
      </c>
      <c r="K146" s="479"/>
      <c r="L146" s="488"/>
      <c r="M146" s="479">
        <f t="shared" si="29"/>
        <v>0</v>
      </c>
      <c r="N146" s="488"/>
      <c r="O146" s="479">
        <f t="shared" si="30"/>
        <v>0</v>
      </c>
      <c r="P146" s="479">
        <f t="shared" si="31"/>
        <v>0</v>
      </c>
    </row>
    <row r="147" spans="2:16" ht="12.5">
      <c r="B147" s="160" t="str">
        <f t="shared" si="18"/>
        <v/>
      </c>
      <c r="C147" s="473">
        <f>IF(D93="","-",+C146+1)</f>
        <v>2062</v>
      </c>
      <c r="D147" s="347">
        <f>IF(F146+SUM(E$99:E146)=D$92,F146,D$92-SUM(E$99:E146))</f>
        <v>0</v>
      </c>
      <c r="E147" s="485">
        <f t="shared" si="22"/>
        <v>0</v>
      </c>
      <c r="F147" s="486">
        <f t="shared" si="23"/>
        <v>0</v>
      </c>
      <c r="G147" s="486">
        <f t="shared" si="24"/>
        <v>0</v>
      </c>
      <c r="H147" s="487">
        <f t="shared" si="27"/>
        <v>0</v>
      </c>
      <c r="I147" s="543">
        <f t="shared" si="28"/>
        <v>0</v>
      </c>
      <c r="J147" s="479">
        <f t="shared" si="19"/>
        <v>0</v>
      </c>
      <c r="K147" s="479"/>
      <c r="L147" s="488"/>
      <c r="M147" s="479">
        <f t="shared" si="29"/>
        <v>0</v>
      </c>
      <c r="N147" s="488"/>
      <c r="O147" s="479">
        <f t="shared" si="30"/>
        <v>0</v>
      </c>
      <c r="P147" s="479">
        <f t="shared" si="31"/>
        <v>0</v>
      </c>
    </row>
    <row r="148" spans="2:16" ht="12.5">
      <c r="B148" s="160" t="str">
        <f t="shared" si="18"/>
        <v/>
      </c>
      <c r="C148" s="473">
        <f>IF(D93="","-",+C147+1)</f>
        <v>2063</v>
      </c>
      <c r="D148" s="347">
        <f>IF(F147+SUM(E$99:E147)=D$92,F147,D$92-SUM(E$99:E147))</f>
        <v>0</v>
      </c>
      <c r="E148" s="485">
        <f t="shared" si="22"/>
        <v>0</v>
      </c>
      <c r="F148" s="486">
        <f t="shared" si="23"/>
        <v>0</v>
      </c>
      <c r="G148" s="486">
        <f t="shared" si="24"/>
        <v>0</v>
      </c>
      <c r="H148" s="487">
        <f t="shared" si="27"/>
        <v>0</v>
      </c>
      <c r="I148" s="543">
        <f t="shared" si="28"/>
        <v>0</v>
      </c>
      <c r="J148" s="479">
        <f t="shared" si="19"/>
        <v>0</v>
      </c>
      <c r="K148" s="479"/>
      <c r="L148" s="488"/>
      <c r="M148" s="479">
        <f t="shared" si="29"/>
        <v>0</v>
      </c>
      <c r="N148" s="488"/>
      <c r="O148" s="479">
        <f t="shared" si="30"/>
        <v>0</v>
      </c>
      <c r="P148" s="479">
        <f t="shared" si="31"/>
        <v>0</v>
      </c>
    </row>
    <row r="149" spans="2:16" ht="12.5">
      <c r="B149" s="160" t="str">
        <f t="shared" si="18"/>
        <v/>
      </c>
      <c r="C149" s="473">
        <f>IF(D93="","-",+C148+1)</f>
        <v>2064</v>
      </c>
      <c r="D149" s="347">
        <f>IF(F148+SUM(E$99:E148)=D$92,F148,D$92-SUM(E$99:E148))</f>
        <v>0</v>
      </c>
      <c r="E149" s="485">
        <f t="shared" si="22"/>
        <v>0</v>
      </c>
      <c r="F149" s="486">
        <f t="shared" si="23"/>
        <v>0</v>
      </c>
      <c r="G149" s="486">
        <f t="shared" si="24"/>
        <v>0</v>
      </c>
      <c r="H149" s="487">
        <f t="shared" si="27"/>
        <v>0</v>
      </c>
      <c r="I149" s="543">
        <f t="shared" si="28"/>
        <v>0</v>
      </c>
      <c r="J149" s="479">
        <f t="shared" si="19"/>
        <v>0</v>
      </c>
      <c r="K149" s="479"/>
      <c r="L149" s="488"/>
      <c r="M149" s="479">
        <f t="shared" si="29"/>
        <v>0</v>
      </c>
      <c r="N149" s="488"/>
      <c r="O149" s="479">
        <f t="shared" si="30"/>
        <v>0</v>
      </c>
      <c r="P149" s="479">
        <f t="shared" si="31"/>
        <v>0</v>
      </c>
    </row>
    <row r="150" spans="2:16" ht="12.5">
      <c r="B150" s="160" t="str">
        <f t="shared" si="18"/>
        <v/>
      </c>
      <c r="C150" s="473">
        <f>IF(D93="","-",+C149+1)</f>
        <v>2065</v>
      </c>
      <c r="D150" s="347">
        <f>IF(F149+SUM(E$99:E149)=D$92,F149,D$92-SUM(E$99:E149))</f>
        <v>0</v>
      </c>
      <c r="E150" s="485">
        <f t="shared" si="22"/>
        <v>0</v>
      </c>
      <c r="F150" s="486">
        <f t="shared" si="23"/>
        <v>0</v>
      </c>
      <c r="G150" s="486">
        <f t="shared" si="24"/>
        <v>0</v>
      </c>
      <c r="H150" s="487">
        <f t="shared" si="27"/>
        <v>0</v>
      </c>
      <c r="I150" s="543">
        <f t="shared" si="28"/>
        <v>0</v>
      </c>
      <c r="J150" s="479">
        <f t="shared" si="19"/>
        <v>0</v>
      </c>
      <c r="K150" s="479"/>
      <c r="L150" s="488"/>
      <c r="M150" s="479">
        <f t="shared" si="29"/>
        <v>0</v>
      </c>
      <c r="N150" s="488"/>
      <c r="O150" s="479">
        <f t="shared" si="30"/>
        <v>0</v>
      </c>
      <c r="P150" s="479">
        <f t="shared" si="31"/>
        <v>0</v>
      </c>
    </row>
    <row r="151" spans="2:16" ht="12.5">
      <c r="B151" s="160" t="str">
        <f t="shared" si="18"/>
        <v/>
      </c>
      <c r="C151" s="473">
        <f>IF(D93="","-",+C150+1)</f>
        <v>2066</v>
      </c>
      <c r="D151" s="347">
        <f>IF(F150+SUM(E$99:E150)=D$92,F150,D$92-SUM(E$99:E150))</f>
        <v>0</v>
      </c>
      <c r="E151" s="485">
        <f t="shared" si="22"/>
        <v>0</v>
      </c>
      <c r="F151" s="486">
        <f t="shared" si="23"/>
        <v>0</v>
      </c>
      <c r="G151" s="486">
        <f t="shared" si="24"/>
        <v>0</v>
      </c>
      <c r="H151" s="487">
        <f t="shared" si="27"/>
        <v>0</v>
      </c>
      <c r="I151" s="543">
        <f t="shared" si="28"/>
        <v>0</v>
      </c>
      <c r="J151" s="479">
        <f t="shared" si="19"/>
        <v>0</v>
      </c>
      <c r="K151" s="479"/>
      <c r="L151" s="488"/>
      <c r="M151" s="479">
        <f t="shared" si="29"/>
        <v>0</v>
      </c>
      <c r="N151" s="488"/>
      <c r="O151" s="479">
        <f t="shared" si="30"/>
        <v>0</v>
      </c>
      <c r="P151" s="479">
        <f t="shared" si="31"/>
        <v>0</v>
      </c>
    </row>
    <row r="152" spans="2:16" ht="12.5">
      <c r="B152" s="160" t="str">
        <f t="shared" si="18"/>
        <v/>
      </c>
      <c r="C152" s="473">
        <f>IF(D93="","-",+C151+1)</f>
        <v>2067</v>
      </c>
      <c r="D152" s="347">
        <f>IF(F151+SUM(E$99:E151)=D$92,F151,D$92-SUM(E$99:E151))</f>
        <v>0</v>
      </c>
      <c r="E152" s="485">
        <f t="shared" si="22"/>
        <v>0</v>
      </c>
      <c r="F152" s="486">
        <f t="shared" si="23"/>
        <v>0</v>
      </c>
      <c r="G152" s="486">
        <f t="shared" si="24"/>
        <v>0</v>
      </c>
      <c r="H152" s="487">
        <f t="shared" si="27"/>
        <v>0</v>
      </c>
      <c r="I152" s="543">
        <f t="shared" si="28"/>
        <v>0</v>
      </c>
      <c r="J152" s="479">
        <f t="shared" si="19"/>
        <v>0</v>
      </c>
      <c r="K152" s="479"/>
      <c r="L152" s="488"/>
      <c r="M152" s="479">
        <f t="shared" si="29"/>
        <v>0</v>
      </c>
      <c r="N152" s="488"/>
      <c r="O152" s="479">
        <f t="shared" si="30"/>
        <v>0</v>
      </c>
      <c r="P152" s="479">
        <f t="shared" si="31"/>
        <v>0</v>
      </c>
    </row>
    <row r="153" spans="2:16" ht="12.5">
      <c r="B153" s="160" t="str">
        <f t="shared" si="18"/>
        <v/>
      </c>
      <c r="C153" s="473">
        <f>IF(D93="","-",+C152+1)</f>
        <v>2068</v>
      </c>
      <c r="D153" s="347">
        <f>IF(F152+SUM(E$99:E152)=D$92,F152,D$92-SUM(E$99:E152))</f>
        <v>0</v>
      </c>
      <c r="E153" s="485">
        <f t="shared" si="22"/>
        <v>0</v>
      </c>
      <c r="F153" s="486">
        <f t="shared" si="23"/>
        <v>0</v>
      </c>
      <c r="G153" s="486">
        <f t="shared" si="24"/>
        <v>0</v>
      </c>
      <c r="H153" s="487">
        <f t="shared" si="27"/>
        <v>0</v>
      </c>
      <c r="I153" s="543">
        <f t="shared" si="28"/>
        <v>0</v>
      </c>
      <c r="J153" s="479">
        <f t="shared" si="19"/>
        <v>0</v>
      </c>
      <c r="K153" s="479"/>
      <c r="L153" s="488"/>
      <c r="M153" s="479">
        <f t="shared" si="29"/>
        <v>0</v>
      </c>
      <c r="N153" s="488"/>
      <c r="O153" s="479">
        <f t="shared" si="30"/>
        <v>0</v>
      </c>
      <c r="P153" s="479">
        <f t="shared" si="31"/>
        <v>0</v>
      </c>
    </row>
    <row r="154" spans="2:16" ht="13" thickBot="1">
      <c r="B154" s="160" t="str">
        <f t="shared" si="18"/>
        <v/>
      </c>
      <c r="C154" s="490">
        <f>IF(D93="","-",+C153+1)</f>
        <v>2069</v>
      </c>
      <c r="D154" s="577">
        <f>IF(F153+SUM(E$99:E153)=D$92,F153,D$92-SUM(E$99:E153))</f>
        <v>0</v>
      </c>
      <c r="E154" s="492">
        <f t="shared" si="22"/>
        <v>0</v>
      </c>
      <c r="F154" s="491">
        <f t="shared" si="23"/>
        <v>0</v>
      </c>
      <c r="G154" s="491">
        <f t="shared" si="24"/>
        <v>0</v>
      </c>
      <c r="H154" s="493">
        <f t="shared" ref="H154" si="32">+J$94*G154+E154</f>
        <v>0</v>
      </c>
      <c r="I154" s="546">
        <f t="shared" si="25"/>
        <v>0</v>
      </c>
      <c r="J154" s="496">
        <f t="shared" si="19"/>
        <v>0</v>
      </c>
      <c r="K154" s="496"/>
      <c r="L154" s="495"/>
      <c r="M154" s="496">
        <f t="shared" si="29"/>
        <v>0</v>
      </c>
      <c r="N154" s="495"/>
      <c r="O154" s="496">
        <f t="shared" si="30"/>
        <v>0</v>
      </c>
      <c r="P154" s="496">
        <f t="shared" si="31"/>
        <v>0</v>
      </c>
    </row>
    <row r="155" spans="2:16" ht="12.5">
      <c r="C155" s="347" t="s">
        <v>77</v>
      </c>
      <c r="D155" s="348"/>
      <c r="E155" s="348">
        <f>SUM(E99:E154)</f>
        <v>5059278</v>
      </c>
      <c r="F155" s="348"/>
      <c r="G155" s="348"/>
      <c r="H155" s="348">
        <f>SUM(H99:H154)</f>
        <v>18214500.838044465</v>
      </c>
      <c r="I155" s="348">
        <f>SUM(I99:I154)</f>
        <v>18214500.838044465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S137"/>
  <sheetViews>
    <sheetView view="pageBreakPreview" zoomScale="80" zoomScaleNormal="100" zoomScaleSheetLayoutView="80" workbookViewId="0">
      <selection sqref="A1:J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16.1796875" style="148" customWidth="1"/>
    <col min="10" max="10" width="2.179687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3.54296875" style="148" bestFit="1" customWidth="1"/>
    <col min="17" max="17" width="4.7265625" style="148" customWidth="1"/>
    <col min="18" max="18" width="15.453125" style="148" customWidth="1"/>
    <col min="19" max="19" width="81.81640625" style="148" bestFit="1" customWidth="1"/>
    <col min="20" max="22" width="8.7265625" style="148"/>
    <col min="23" max="23" width="9.1796875" style="148" customWidth="1"/>
    <col min="24" max="16384" width="8.7265625" style="148"/>
  </cols>
  <sheetData>
    <row r="1" spans="1:18" ht="17.5">
      <c r="A1" s="643" t="s">
        <v>123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8" ht="17.5">
      <c r="A2" s="645" t="str">
        <f>L19+1&amp;" Cost of Service Formula Rate Projected on "&amp;L19&amp;" FF1 Balances"</f>
        <v>2021 Cost of Service Formula Rate Projected on 2020 FF1 Balances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8" ht="18">
      <c r="A3" s="646" t="s">
        <v>140</v>
      </c>
      <c r="B3" s="645"/>
      <c r="C3" s="645"/>
      <c r="D3" s="645"/>
      <c r="E3" s="645"/>
      <c r="F3" s="645"/>
      <c r="G3" s="645"/>
      <c r="H3" s="645"/>
      <c r="I3" s="645"/>
      <c r="J3" s="645"/>
      <c r="Q3" s="240" t="s">
        <v>125</v>
      </c>
    </row>
    <row r="4" spans="1:18" ht="17.5">
      <c r="A4" s="645" t="str">
        <f>"Based on a Carrying Charge Derived from ""Historic"" "&amp;L19&amp;" Data"</f>
        <v>Based on a Carrying Charge Derived from "Historic" 2020 Data</v>
      </c>
      <c r="B4" s="645"/>
      <c r="C4" s="645"/>
      <c r="D4" s="645"/>
      <c r="E4" s="645"/>
      <c r="F4" s="645"/>
      <c r="G4" s="645"/>
      <c r="H4" s="645"/>
      <c r="I4" s="645"/>
      <c r="J4" s="645"/>
    </row>
    <row r="5" spans="1:18" ht="18">
      <c r="A5" s="647" t="s">
        <v>124</v>
      </c>
      <c r="B5" s="647"/>
      <c r="C5" s="647"/>
      <c r="D5" s="647"/>
      <c r="E5" s="647"/>
      <c r="F5" s="647"/>
      <c r="G5" s="647"/>
      <c r="H5" s="647"/>
      <c r="I5" s="647"/>
      <c r="J5" s="647"/>
    </row>
    <row r="6" spans="1:18" ht="12.5">
      <c r="A6" s="233"/>
      <c r="B6" s="233"/>
      <c r="C6" s="233"/>
      <c r="D6" s="241"/>
      <c r="E6" s="233"/>
      <c r="F6" s="233"/>
      <c r="G6" s="233"/>
      <c r="H6" s="242"/>
      <c r="I6" s="233"/>
      <c r="J6" s="243"/>
    </row>
    <row r="7" spans="1:18" ht="12.5">
      <c r="D7" s="160"/>
      <c r="H7" s="217"/>
      <c r="J7" s="195"/>
    </row>
    <row r="8" spans="1:18" ht="38.25" customHeight="1">
      <c r="B8" s="244" t="s">
        <v>0</v>
      </c>
      <c r="C8" s="639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40"/>
      <c r="E8" s="640"/>
      <c r="F8" s="640"/>
      <c r="G8" s="640"/>
      <c r="H8" s="640"/>
      <c r="J8" s="195"/>
      <c r="R8" s="235"/>
    </row>
    <row r="9" spans="1:18" ht="12.5">
      <c r="D9" s="160"/>
      <c r="H9" s="217"/>
      <c r="J9" s="195"/>
    </row>
    <row r="10" spans="1:18" ht="15.5">
      <c r="C10" s="245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H10" s="217"/>
      <c r="J10" s="195"/>
      <c r="K10" s="246"/>
      <c r="L10" s="247"/>
    </row>
    <row r="11" spans="1:18" ht="12.5">
      <c r="D11" s="160"/>
      <c r="H11" s="217"/>
      <c r="J11" s="195"/>
    </row>
    <row r="12" spans="1:18" ht="12.5">
      <c r="C12" s="248" t="str">
        <f>S105</f>
        <v xml:space="preserve">   ROE w/o incentives  (Projected TCOS, ln 148)</v>
      </c>
      <c r="D12" s="160"/>
      <c r="E12" s="249"/>
      <c r="F12" s="250">
        <v>0.112</v>
      </c>
      <c r="G12" s="251"/>
      <c r="H12" s="252"/>
      <c r="I12" s="253"/>
      <c r="J12" s="254"/>
      <c r="K12" s="253"/>
      <c r="L12" s="253"/>
      <c r="M12" s="253"/>
      <c r="N12" s="253"/>
      <c r="O12" s="249"/>
      <c r="P12" s="253"/>
      <c r="Q12" s="233"/>
    </row>
    <row r="13" spans="1:18" ht="12.5">
      <c r="C13" s="248" t="s">
        <v>1</v>
      </c>
      <c r="D13" s="160"/>
      <c r="E13" s="249"/>
      <c r="F13" s="255">
        <f>+R106</f>
        <v>0</v>
      </c>
      <c r="G13" s="148" t="s">
        <v>152</v>
      </c>
      <c r="K13" s="253"/>
      <c r="L13" s="253"/>
      <c r="M13" s="253"/>
      <c r="N13" s="253"/>
      <c r="O13" s="249"/>
      <c r="P13" s="253"/>
      <c r="Q13" s="233"/>
    </row>
    <row r="14" spans="1:18" ht="13.5" thickBot="1">
      <c r="C14" s="248" t="str">
        <f>"   ROE with additional "&amp;F13&amp;" basis point incentive"</f>
        <v xml:space="preserve">   ROE with additional 0 basis point incentive</v>
      </c>
      <c r="D14" s="249"/>
      <c r="E14" s="249"/>
      <c r="F14" s="256">
        <f>IF((F12+(F13/10000)&gt;0.1245),"ERROR",F12+(F13/10000))</f>
        <v>0.112</v>
      </c>
      <c r="G14" s="257" t="s">
        <v>2</v>
      </c>
      <c r="H14" s="253"/>
      <c r="I14" s="253"/>
      <c r="J14" s="254"/>
      <c r="K14" s="253"/>
      <c r="L14" s="253"/>
      <c r="M14" s="253"/>
      <c r="N14" s="253"/>
      <c r="O14" s="249"/>
      <c r="P14" s="253"/>
      <c r="Q14" s="233"/>
    </row>
    <row r="15" spans="1:18" ht="12.5">
      <c r="C15" s="248" t="s">
        <v>231</v>
      </c>
      <c r="D15" s="160"/>
      <c r="E15" s="249"/>
      <c r="F15" s="256"/>
      <c r="G15" s="249"/>
      <c r="H15" s="253"/>
      <c r="I15" s="253"/>
      <c r="J15" s="254"/>
      <c r="K15" s="633" t="s">
        <v>3</v>
      </c>
      <c r="L15" s="634"/>
      <c r="M15" s="634"/>
      <c r="N15" s="634"/>
      <c r="O15" s="635"/>
      <c r="P15" s="253"/>
      <c r="Q15" s="233"/>
    </row>
    <row r="16" spans="1:18" ht="12.5">
      <c r="C16" s="254"/>
      <c r="D16" s="258" t="s">
        <v>4</v>
      </c>
      <c r="E16" s="258" t="s">
        <v>5</v>
      </c>
      <c r="F16" s="259" t="s">
        <v>6</v>
      </c>
      <c r="G16" s="249"/>
      <c r="H16" s="253"/>
      <c r="I16" s="253"/>
      <c r="J16" s="254"/>
      <c r="K16" s="636"/>
      <c r="L16" s="637"/>
      <c r="M16" s="637"/>
      <c r="N16" s="637"/>
      <c r="O16" s="638"/>
      <c r="P16" s="253"/>
      <c r="Q16" s="233"/>
    </row>
    <row r="17" spans="3:17" ht="12.5">
      <c r="C17" s="260" t="s">
        <v>7</v>
      </c>
      <c r="D17" s="261">
        <f>+R107</f>
        <v>0.49221422988540209</v>
      </c>
      <c r="E17" s="262">
        <f>+R108</f>
        <v>4.2554973149327033E-2</v>
      </c>
      <c r="F17" s="263">
        <f>E17*D17</f>
        <v>2.0946163336489968E-2</v>
      </c>
      <c r="G17" s="249"/>
      <c r="H17" s="253"/>
      <c r="I17" s="264"/>
      <c r="J17" s="265"/>
      <c r="K17" s="266"/>
      <c r="L17" s="267"/>
      <c r="M17" s="254" t="s">
        <v>8</v>
      </c>
      <c r="N17" s="254" t="s">
        <v>9</v>
      </c>
      <c r="O17" s="268" t="s">
        <v>10</v>
      </c>
      <c r="P17" s="253"/>
      <c r="Q17" s="233"/>
    </row>
    <row r="18" spans="3:17" ht="12.5">
      <c r="C18" s="260" t="s">
        <v>11</v>
      </c>
      <c r="D18" s="261">
        <f>+R109</f>
        <v>0</v>
      </c>
      <c r="E18" s="262">
        <f>+R110</f>
        <v>0</v>
      </c>
      <c r="F18" s="263">
        <f>E18*D18</f>
        <v>0</v>
      </c>
      <c r="G18" s="269"/>
      <c r="H18" s="269"/>
      <c r="I18" s="270"/>
      <c r="J18" s="271"/>
      <c r="K18" s="272"/>
      <c r="L18" s="195"/>
      <c r="M18" s="195"/>
      <c r="N18" s="195"/>
      <c r="O18" s="273"/>
      <c r="P18" s="269"/>
      <c r="Q18" s="233"/>
    </row>
    <row r="19" spans="3:17" ht="13" thickBot="1">
      <c r="C19" s="274" t="s">
        <v>12</v>
      </c>
      <c r="D19" s="261">
        <f>+R111</f>
        <v>0.5077857701145978</v>
      </c>
      <c r="E19" s="262">
        <f>+F14</f>
        <v>0.112</v>
      </c>
      <c r="F19" s="275">
        <f>E19*D19</f>
        <v>5.6872006252834957E-2</v>
      </c>
      <c r="G19" s="269"/>
      <c r="H19" s="269"/>
      <c r="I19" s="256"/>
      <c r="J19" s="271"/>
      <c r="K19" s="276" t="s">
        <v>13</v>
      </c>
      <c r="L19" s="277">
        <f>R104</f>
        <v>2020</v>
      </c>
      <c r="M19" s="278">
        <f>SUM('P.001:P.xyz - blank'!N5)</f>
        <v>7973838.7799099376</v>
      </c>
      <c r="N19" s="278">
        <f>SUM('P.001:P.xyz - blank'!N6)</f>
        <v>7973838.7799099376</v>
      </c>
      <c r="O19" s="279">
        <f>+N19-M19</f>
        <v>0</v>
      </c>
      <c r="P19" s="270"/>
      <c r="Q19" s="233"/>
    </row>
    <row r="20" spans="3:17" ht="12.5">
      <c r="C20" s="248"/>
      <c r="D20" s="249"/>
      <c r="E20" s="280" t="s">
        <v>14</v>
      </c>
      <c r="F20" s="263">
        <f>SUM(F17:F19)</f>
        <v>7.7818169589324929E-2</v>
      </c>
      <c r="G20" s="269"/>
      <c r="H20" s="269"/>
      <c r="I20" s="270"/>
      <c r="J20" s="271"/>
      <c r="M20" s="281" t="str">
        <f>IF(M19=SUM('P.001:P.xyz - blank'!N5),"","ERROR")</f>
        <v/>
      </c>
      <c r="N20" s="281" t="str">
        <f>IF(N19=SUM('P.001:P.xyz - blank'!N6),"","ERROR")</f>
        <v/>
      </c>
      <c r="O20" s="281" t="str">
        <f>IF(O19=SUM('P.001:P.xyz - blank'!N7),"","ERROR")</f>
        <v/>
      </c>
      <c r="P20" s="269"/>
      <c r="Q20" s="233"/>
    </row>
    <row r="21" spans="3:17" ht="13">
      <c r="D21" s="282"/>
      <c r="E21" s="282"/>
      <c r="F21" s="269"/>
      <c r="G21" s="269"/>
      <c r="H21" s="269"/>
      <c r="I21" s="269"/>
      <c r="J21" s="283"/>
      <c r="K21" s="178" t="s">
        <v>15</v>
      </c>
      <c r="P21" s="269"/>
      <c r="Q21" s="233"/>
    </row>
    <row r="22" spans="3:17" ht="15.5">
      <c r="C22" s="245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2"/>
      <c r="E22" s="282"/>
      <c r="F22" s="284"/>
      <c r="G22" s="269"/>
      <c r="H22" s="249"/>
      <c r="I22" s="269"/>
      <c r="J22" s="283"/>
      <c r="K22" s="148" t="s">
        <v>16</v>
      </c>
      <c r="P22" s="269"/>
      <c r="Q22" s="233"/>
    </row>
    <row r="23" spans="3:17" ht="12.5">
      <c r="C23" s="254"/>
      <c r="D23" s="282"/>
      <c r="E23" s="282"/>
      <c r="F23" s="283"/>
      <c r="G23" s="283"/>
      <c r="H23" s="283"/>
      <c r="I23" s="283"/>
      <c r="J23" s="283"/>
      <c r="K23" s="270"/>
      <c r="L23" s="285"/>
      <c r="M23" s="237"/>
      <c r="N23" s="270"/>
      <c r="O23" s="269"/>
      <c r="P23" s="283"/>
      <c r="Q23" s="243"/>
    </row>
    <row r="24" spans="3:17" ht="12.5">
      <c r="C24" s="248" t="str">
        <f>+S112</f>
        <v xml:space="preserve">   Rate Base  (TCOS, ln 62)</v>
      </c>
      <c r="D24" s="249"/>
      <c r="E24" s="286">
        <f>+R112</f>
        <v>519813264.9647429</v>
      </c>
      <c r="F24" s="287"/>
      <c r="G24" s="283"/>
      <c r="H24" s="283"/>
      <c r="I24" s="283"/>
      <c r="J24" s="283"/>
      <c r="K24" s="283"/>
      <c r="L24" s="283"/>
      <c r="M24" s="283"/>
      <c r="N24" s="283"/>
      <c r="O24" s="283"/>
      <c r="P24" s="287"/>
      <c r="Q24" s="243"/>
    </row>
    <row r="25" spans="3:17" ht="12.5">
      <c r="C25" s="254" t="s">
        <v>17</v>
      </c>
      <c r="D25" s="251"/>
      <c r="E25" s="288">
        <f>F20</f>
        <v>7.7818169589324929E-2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43"/>
    </row>
    <row r="26" spans="3:17" ht="12.5">
      <c r="C26" s="289" t="s">
        <v>18</v>
      </c>
      <c r="D26" s="289"/>
      <c r="E26" s="270">
        <f>E24*E25</f>
        <v>40450916.807807058</v>
      </c>
      <c r="F26" s="283"/>
      <c r="G26" s="283"/>
      <c r="H26" s="283"/>
      <c r="I26" s="271"/>
      <c r="J26" s="271"/>
      <c r="K26" s="271"/>
      <c r="L26" s="271"/>
      <c r="M26" s="283"/>
      <c r="N26" s="271"/>
      <c r="O26" s="283"/>
      <c r="P26" s="283"/>
      <c r="Q26" s="243"/>
    </row>
    <row r="27" spans="3:17" ht="12.5">
      <c r="C27" s="290"/>
      <c r="D27" s="253"/>
      <c r="E27" s="253"/>
      <c r="F27" s="283"/>
      <c r="G27" s="283"/>
      <c r="H27" s="283"/>
      <c r="I27" s="271"/>
      <c r="J27" s="271"/>
      <c r="K27" s="271"/>
      <c r="L27" s="271"/>
      <c r="M27" s="283"/>
      <c r="N27" s="271"/>
      <c r="O27" s="283"/>
      <c r="P27" s="283"/>
      <c r="Q27" s="243"/>
    </row>
    <row r="28" spans="3:17" ht="15.5">
      <c r="C28" s="245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1"/>
      <c r="E28" s="291"/>
      <c r="F28" s="292"/>
      <c r="G28" s="292"/>
      <c r="H28" s="292"/>
      <c r="I28" s="293"/>
      <c r="J28" s="293"/>
      <c r="K28" s="293"/>
      <c r="L28" s="293"/>
      <c r="M28" s="283"/>
      <c r="N28" s="293"/>
      <c r="O28" s="292"/>
      <c r="P28" s="292"/>
      <c r="Q28" s="243"/>
    </row>
    <row r="29" spans="3:17" ht="12.5">
      <c r="C29" s="248"/>
      <c r="D29" s="253"/>
      <c r="E29" s="253"/>
      <c r="F29" s="283"/>
      <c r="G29" s="283"/>
      <c r="H29" s="283"/>
      <c r="I29" s="271"/>
      <c r="J29" s="271"/>
      <c r="K29" s="271"/>
      <c r="L29" s="271"/>
      <c r="M29" s="283"/>
      <c r="N29" s="271"/>
      <c r="O29" s="283"/>
      <c r="P29" s="283"/>
      <c r="Q29" s="243"/>
    </row>
    <row r="30" spans="3:17" ht="12.5">
      <c r="C30" s="254" t="s">
        <v>19</v>
      </c>
      <c r="D30" s="280"/>
      <c r="E30" s="294">
        <f>E26</f>
        <v>40450916.807807058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43"/>
    </row>
    <row r="31" spans="3:17" ht="12.5">
      <c r="C31" s="248" t="str">
        <f>+S113</f>
        <v xml:space="preserve">   Tax Rate  (TCOS, ln 97)</v>
      </c>
      <c r="D31" s="280"/>
      <c r="E31" s="295">
        <f>+R113</f>
        <v>0.25329199999999996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43"/>
    </row>
    <row r="32" spans="3:17" ht="12.5">
      <c r="C32" s="254" t="s">
        <v>20</v>
      </c>
      <c r="D32" s="241"/>
      <c r="E32" s="256">
        <f>IF(F17&gt;0,($E31/(1-$E31))*(1-$F17/$F20),0)</f>
        <v>0.24790666709520595</v>
      </c>
      <c r="F32" s="233"/>
      <c r="G32" s="256"/>
      <c r="H32" s="242"/>
      <c r="I32" s="233"/>
      <c r="J32" s="243"/>
      <c r="K32" s="233"/>
      <c r="L32" s="233"/>
      <c r="M32" s="233"/>
      <c r="N32" s="233"/>
      <c r="O32" s="233"/>
      <c r="P32" s="233"/>
      <c r="Q32" s="233"/>
    </row>
    <row r="33" spans="2:19" ht="12.5">
      <c r="C33" s="289" t="s">
        <v>21</v>
      </c>
      <c r="D33" s="296"/>
      <c r="E33" s="297">
        <f>E30*E32</f>
        <v>10028051.966768896</v>
      </c>
      <c r="F33" s="297"/>
      <c r="G33" s="233"/>
      <c r="H33" s="242"/>
      <c r="I33" s="233"/>
      <c r="J33" s="243"/>
      <c r="K33" s="233"/>
      <c r="L33" s="233"/>
      <c r="M33" s="233"/>
      <c r="N33" s="233"/>
      <c r="O33" s="233"/>
      <c r="P33" s="233"/>
      <c r="Q33" s="233"/>
    </row>
    <row r="34" spans="2:19" ht="15.5">
      <c r="C34" s="248" t="str">
        <f>+S114</f>
        <v xml:space="preserve">   ITC Adjustment  (TCOS, ln 106)</v>
      </c>
      <c r="D34" s="298"/>
      <c r="E34" s="299">
        <f>+R114</f>
        <v>-478625.26595583552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300"/>
      <c r="Q34" s="298"/>
    </row>
    <row r="35" spans="2:19" ht="15.5">
      <c r="C35" s="248" t="str">
        <f>+S115</f>
        <v xml:space="preserve">   Excess DFIT Adjustment  (TCOS, ln 107)</v>
      </c>
      <c r="D35" s="298"/>
      <c r="E35" s="299">
        <f>+R115</f>
        <v>-4278665.0203292314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300"/>
      <c r="Q35" s="298"/>
    </row>
    <row r="36" spans="2:19" ht="15.5">
      <c r="C36" s="248" t="str">
        <f>+S116</f>
        <v xml:space="preserve">   Tax Effect of Permanent and Flow Through Differences  (TCOS, ln 108)</v>
      </c>
      <c r="D36" s="298"/>
      <c r="E36" s="299">
        <f>+R116</f>
        <v>69243.01065476732</v>
      </c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300"/>
      <c r="Q36" s="298"/>
    </row>
    <row r="37" spans="2:19" ht="15.5">
      <c r="C37" s="290" t="s">
        <v>22</v>
      </c>
      <c r="D37" s="298"/>
      <c r="E37" s="299">
        <f>E33+E34+E35+E36</f>
        <v>5340004.6911385963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301"/>
      <c r="Q37" s="298"/>
    </row>
    <row r="38" spans="2:19" ht="12.75" customHeight="1">
      <c r="C38" s="302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301"/>
      <c r="Q38" s="298"/>
      <c r="R38" s="233"/>
      <c r="S38" s="233"/>
    </row>
    <row r="39" spans="2:19" ht="18">
      <c r="B39" s="303" t="s">
        <v>23</v>
      </c>
      <c r="C39" s="304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301"/>
      <c r="Q39" s="298"/>
      <c r="R39" s="233"/>
      <c r="S39" s="233"/>
    </row>
    <row r="40" spans="2:19" ht="15.75" customHeight="1">
      <c r="B40" s="303"/>
      <c r="C40" s="304" t="str">
        <f>"ROE increase."</f>
        <v>ROE increase.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301"/>
      <c r="Q40" s="298"/>
      <c r="R40" s="233"/>
      <c r="S40" s="233"/>
    </row>
    <row r="41" spans="2:19" ht="12.75" customHeight="1">
      <c r="C41" s="302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301"/>
      <c r="Q41" s="298"/>
      <c r="R41" s="233"/>
      <c r="S41" s="233"/>
    </row>
    <row r="42" spans="2:19" ht="15.5">
      <c r="C42" s="245" t="s">
        <v>24</v>
      </c>
      <c r="D42" s="298"/>
      <c r="E42" s="298"/>
      <c r="F42" s="305"/>
      <c r="G42" s="298"/>
      <c r="H42" s="298"/>
      <c r="I42" s="298"/>
      <c r="J42" s="298"/>
      <c r="K42" s="298"/>
      <c r="L42" s="298"/>
      <c r="M42" s="298"/>
      <c r="N42" s="298"/>
      <c r="O42" s="298"/>
      <c r="P42" s="301"/>
      <c r="Q42" s="298"/>
      <c r="R42" s="233"/>
      <c r="S42" s="233"/>
    </row>
    <row r="43" spans="2:19" ht="12.5">
      <c r="B43" s="233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299"/>
      <c r="Q43" s="307"/>
      <c r="R43" s="233"/>
      <c r="S43" s="233"/>
    </row>
    <row r="44" spans="2:19" ht="12.75" customHeight="1">
      <c r="B44" s="233"/>
      <c r="C44" s="248" t="str">
        <f>+S117</f>
        <v xml:space="preserve">   Net Revenue Requirement  (TCOS, ln 115)</v>
      </c>
      <c r="D44" s="307"/>
      <c r="E44" s="307"/>
      <c r="F44" s="299">
        <f>+R117</f>
        <v>99419627.839597642</v>
      </c>
      <c r="G44" s="307"/>
      <c r="H44" s="307"/>
      <c r="I44" s="307"/>
      <c r="J44" s="307"/>
      <c r="K44" s="307"/>
      <c r="L44" s="307"/>
      <c r="M44" s="307"/>
      <c r="N44" s="307"/>
      <c r="O44" s="307"/>
      <c r="P44" s="299"/>
      <c r="Q44" s="307"/>
      <c r="R44" s="233"/>
      <c r="S44" s="233"/>
    </row>
    <row r="45" spans="2:19" ht="12.5">
      <c r="B45" s="233"/>
      <c r="C45" s="248" t="str">
        <f>+S118</f>
        <v xml:space="preserve">   Return  (TCOS, ln 110)</v>
      </c>
      <c r="D45" s="307"/>
      <c r="E45" s="307"/>
      <c r="F45" s="308">
        <f>+R118</f>
        <v>38603240.354345709</v>
      </c>
      <c r="G45" s="309"/>
      <c r="H45" s="309"/>
      <c r="I45" s="309"/>
      <c r="J45" s="309"/>
      <c r="K45" s="309"/>
      <c r="L45" s="309"/>
      <c r="M45" s="309"/>
      <c r="N45" s="309"/>
      <c r="O45" s="309"/>
      <c r="P45" s="299"/>
      <c r="Q45" s="307"/>
      <c r="R45" s="233"/>
      <c r="S45" s="233"/>
    </row>
    <row r="46" spans="2:19" ht="12.5">
      <c r="B46" s="233"/>
      <c r="C46" s="248" t="str">
        <f>+S119</f>
        <v xml:space="preserve">   Income Taxes  (TCOS, ln 109)</v>
      </c>
      <c r="D46" s="307"/>
      <c r="E46" s="307"/>
      <c r="F46" s="299">
        <f>+R119</f>
        <v>4713251.443215535</v>
      </c>
      <c r="G46" s="307"/>
      <c r="H46" s="307"/>
      <c r="I46" s="310"/>
      <c r="J46" s="310"/>
      <c r="K46" s="310"/>
      <c r="L46" s="310"/>
      <c r="M46" s="310"/>
      <c r="N46" s="310"/>
      <c r="O46" s="307"/>
      <c r="P46" s="307"/>
      <c r="Q46" s="307"/>
      <c r="R46" s="233"/>
      <c r="S46" s="233"/>
    </row>
    <row r="47" spans="2:19" ht="12.5">
      <c r="B47" s="233"/>
      <c r="C47" s="306" t="str">
        <f>+S120</f>
        <v xml:space="preserve">  Gross Margin Taxes  (TCOS, ln 114)</v>
      </c>
      <c r="D47" s="307"/>
      <c r="E47" s="307"/>
      <c r="F47" s="311">
        <f>+R120</f>
        <v>0</v>
      </c>
      <c r="G47" s="307"/>
      <c r="H47" s="307"/>
      <c r="I47" s="310"/>
      <c r="J47" s="310"/>
      <c r="K47" s="310"/>
      <c r="L47" s="310"/>
      <c r="M47" s="310"/>
      <c r="N47" s="310"/>
      <c r="O47" s="307"/>
      <c r="P47" s="307"/>
      <c r="Q47" s="307"/>
      <c r="R47" s="233"/>
      <c r="S47" s="233"/>
    </row>
    <row r="48" spans="2:19" ht="12.5">
      <c r="B48" s="233"/>
      <c r="C48" s="312" t="s">
        <v>25</v>
      </c>
      <c r="D48" s="307"/>
      <c r="E48" s="307"/>
      <c r="F48" s="308">
        <f>F44-F45-F46-F47</f>
        <v>56103136.042036399</v>
      </c>
      <c r="G48" s="313"/>
      <c r="H48" s="307"/>
      <c r="I48" s="313"/>
      <c r="J48" s="313"/>
      <c r="K48" s="313"/>
      <c r="L48" s="313"/>
      <c r="M48" s="313"/>
      <c r="N48" s="313"/>
      <c r="O48" s="307"/>
      <c r="P48" s="313"/>
      <c r="Q48" s="307"/>
      <c r="R48" s="233"/>
      <c r="S48" s="233"/>
    </row>
    <row r="49" spans="2:19" ht="12.5">
      <c r="B49" s="233"/>
      <c r="C49" s="306"/>
      <c r="D49" s="307"/>
      <c r="E49" s="307"/>
      <c r="F49" s="299"/>
      <c r="G49" s="314"/>
      <c r="H49" s="315"/>
      <c r="I49" s="315"/>
      <c r="J49" s="315"/>
      <c r="K49" s="315"/>
      <c r="L49" s="315"/>
      <c r="M49" s="315"/>
      <c r="N49" s="315"/>
      <c r="O49" s="316"/>
      <c r="P49" s="315"/>
      <c r="Q49" s="317"/>
      <c r="R49" s="233"/>
      <c r="S49" s="233"/>
    </row>
    <row r="50" spans="2:19" ht="15.5">
      <c r="B50" s="233"/>
      <c r="C50" s="245" t="str">
        <f>"B.   Determine Net Revenue Requirement with hypothetical "&amp;F13&amp;" basis point increase in ROE."</f>
        <v>B.   Determine Net Revenue Requirement with hypothetical 0 basis point increase in ROE.</v>
      </c>
      <c r="D50" s="316"/>
      <c r="E50" s="316"/>
      <c r="F50" s="299"/>
      <c r="G50" s="314"/>
      <c r="H50" s="315"/>
      <c r="I50" s="315"/>
      <c r="J50" s="315"/>
      <c r="K50" s="315"/>
      <c r="L50" s="315"/>
      <c r="M50" s="315"/>
      <c r="N50" s="315"/>
      <c r="O50" s="316"/>
      <c r="P50" s="315"/>
      <c r="Q50" s="307"/>
    </row>
    <row r="51" spans="2:19" ht="12.5">
      <c r="B51" s="233"/>
      <c r="C51" s="306"/>
      <c r="D51" s="316"/>
      <c r="E51" s="316"/>
      <c r="F51" s="299"/>
      <c r="G51" s="314"/>
      <c r="H51" s="315"/>
      <c r="I51" s="315"/>
      <c r="J51" s="315"/>
      <c r="K51" s="315"/>
      <c r="L51" s="315"/>
      <c r="M51" s="315"/>
      <c r="N51" s="315"/>
      <c r="O51" s="316"/>
      <c r="P51" s="315"/>
      <c r="Q51" s="307"/>
    </row>
    <row r="52" spans="2:19" ht="13">
      <c r="B52" s="233"/>
      <c r="C52" s="306" t="str">
        <f>C48</f>
        <v xml:space="preserve">   Net Revenue Requirement, Less Return and Taxes</v>
      </c>
      <c r="D52" s="316"/>
      <c r="E52" s="316"/>
      <c r="F52" s="299">
        <f>F48</f>
        <v>56103136.042036399</v>
      </c>
      <c r="G52" s="307"/>
      <c r="H52" s="307"/>
      <c r="I52" s="307"/>
      <c r="J52" s="307"/>
      <c r="K52" s="307"/>
      <c r="L52" s="307"/>
      <c r="M52" s="307"/>
      <c r="N52" s="307"/>
      <c r="O52" s="318"/>
      <c r="P52" s="319"/>
      <c r="Q52" s="320"/>
    </row>
    <row r="53" spans="2:19" ht="13">
      <c r="B53" s="233"/>
      <c r="C53" s="254" t="s">
        <v>103</v>
      </c>
      <c r="D53" s="321"/>
      <c r="E53" s="312"/>
      <c r="F53" s="322">
        <f>E26</f>
        <v>40450916.807807058</v>
      </c>
      <c r="G53" s="312"/>
      <c r="H53" s="323"/>
      <c r="I53" s="312"/>
      <c r="J53" s="312"/>
      <c r="K53" s="312"/>
      <c r="L53" s="312"/>
      <c r="M53" s="312"/>
      <c r="N53" s="312"/>
      <c r="O53" s="312"/>
      <c r="P53" s="312"/>
      <c r="Q53" s="312"/>
    </row>
    <row r="54" spans="2:19" ht="12.75" customHeight="1">
      <c r="B54" s="233"/>
      <c r="C54" s="248" t="s">
        <v>26</v>
      </c>
      <c r="D54" s="307"/>
      <c r="E54" s="307"/>
      <c r="F54" s="324">
        <f>E37</f>
        <v>5340004.6911385963</v>
      </c>
      <c r="G54" s="233"/>
      <c r="H54" s="242"/>
      <c r="I54" s="233"/>
      <c r="J54" s="243"/>
      <c r="K54" s="233"/>
      <c r="L54" s="233"/>
      <c r="M54" s="233"/>
      <c r="N54" s="233"/>
      <c r="O54" s="233"/>
      <c r="P54" s="233"/>
      <c r="Q54" s="233"/>
    </row>
    <row r="55" spans="2:19" ht="12.5">
      <c r="B55" s="233"/>
      <c r="C55" s="312" t="str">
        <f>"   Net Revenue Requirement, with "&amp;F13&amp;" Basis Point ROE increase"</f>
        <v xml:space="preserve">   Net Revenue Requirement, with 0 Basis Point ROE increase</v>
      </c>
      <c r="D55" s="241"/>
      <c r="E55" s="233"/>
      <c r="F55" s="297">
        <f>SUM(F52:F54)</f>
        <v>101894057.54098205</v>
      </c>
      <c r="G55" s="233"/>
      <c r="H55" s="242"/>
      <c r="I55" s="233"/>
      <c r="J55" s="243"/>
      <c r="K55" s="233"/>
      <c r="L55" s="233"/>
      <c r="M55" s="233"/>
      <c r="N55" s="233"/>
      <c r="O55" s="233"/>
      <c r="P55" s="233"/>
      <c r="Q55" s="233"/>
      <c r="R55" s="233"/>
      <c r="S55" s="233"/>
    </row>
    <row r="56" spans="2:19" ht="12.5">
      <c r="B56" s="233"/>
      <c r="C56" s="325" t="str">
        <f>"   Gross Margin Tax with "&amp;F13&amp;" Basis Point ROE Increase (II C. below)"</f>
        <v xml:space="preserve">   Gross Margin Tax with 0 Basis Point ROE Increase (II C. below)</v>
      </c>
      <c r="D56" s="326"/>
      <c r="E56" s="326"/>
      <c r="F56" s="327">
        <f>+F71</f>
        <v>0</v>
      </c>
      <c r="G56" s="233"/>
      <c r="H56" s="242"/>
      <c r="I56" s="233"/>
      <c r="J56" s="243"/>
      <c r="K56" s="233"/>
      <c r="L56" s="233"/>
      <c r="M56" s="233"/>
      <c r="N56" s="233"/>
      <c r="O56" s="233"/>
      <c r="P56" s="233"/>
      <c r="Q56" s="233"/>
      <c r="R56" s="233"/>
      <c r="S56" s="233"/>
    </row>
    <row r="57" spans="2:19" ht="12.5">
      <c r="B57" s="233"/>
      <c r="C57" s="312" t="s">
        <v>27</v>
      </c>
      <c r="D57" s="241"/>
      <c r="E57" s="233"/>
      <c r="F57" s="328">
        <f>+F55+F56</f>
        <v>101894057.54098205</v>
      </c>
      <c r="G57" s="233"/>
      <c r="H57" s="242"/>
      <c r="I57" s="233"/>
      <c r="J57" s="243"/>
      <c r="K57" s="233"/>
      <c r="L57" s="233"/>
      <c r="M57" s="233"/>
      <c r="N57" s="233"/>
      <c r="O57" s="233"/>
      <c r="P57" s="233"/>
      <c r="Q57" s="233"/>
      <c r="R57" s="233"/>
      <c r="S57" s="233"/>
    </row>
    <row r="58" spans="2:19" ht="12.5">
      <c r="B58" s="233"/>
      <c r="C58" s="248" t="str">
        <f>+S121</f>
        <v xml:space="preserve">   Less: Depreciation  (TCOS, ln 84)</v>
      </c>
      <c r="D58" s="241"/>
      <c r="E58" s="233"/>
      <c r="F58" s="329">
        <f>+R121</f>
        <v>20923010.994146973</v>
      </c>
      <c r="G58" s="233"/>
      <c r="H58" s="242"/>
      <c r="I58" s="233"/>
      <c r="J58" s="243"/>
      <c r="K58" s="233"/>
      <c r="L58" s="233"/>
      <c r="M58" s="233"/>
      <c r="N58" s="233"/>
      <c r="O58" s="233"/>
      <c r="P58" s="233"/>
      <c r="Q58" s="233"/>
      <c r="R58" s="233"/>
      <c r="S58" s="233"/>
    </row>
    <row r="59" spans="2:19" ht="12.5">
      <c r="B59" s="233"/>
      <c r="C59" s="312" t="str">
        <f>"   Net Rev. Req, w/"&amp;F13&amp;" Basis Point ROE increase, less Depreciation"</f>
        <v xml:space="preserve">   Net Rev. Req, w/0 Basis Point ROE increase, less Depreciation</v>
      </c>
      <c r="D59" s="241"/>
      <c r="E59" s="233"/>
      <c r="F59" s="297">
        <f>F57-F58</f>
        <v>80971046.54683508</v>
      </c>
      <c r="G59" s="233"/>
      <c r="H59" s="242"/>
      <c r="I59" s="233"/>
      <c r="J59" s="243"/>
      <c r="K59" s="233"/>
      <c r="L59" s="233"/>
      <c r="M59" s="233"/>
      <c r="N59" s="233"/>
      <c r="O59" s="233"/>
      <c r="P59" s="233"/>
      <c r="Q59" s="233"/>
      <c r="R59" s="233"/>
      <c r="S59" s="233"/>
    </row>
    <row r="60" spans="2:19" ht="12.5">
      <c r="B60" s="233"/>
      <c r="C60" s="233"/>
      <c r="D60" s="241"/>
      <c r="E60" s="233"/>
      <c r="F60" s="233"/>
      <c r="G60" s="233"/>
      <c r="H60" s="242"/>
      <c r="I60" s="233"/>
      <c r="J60" s="243"/>
      <c r="K60" s="233"/>
      <c r="L60" s="233"/>
      <c r="M60" s="233"/>
      <c r="N60" s="233"/>
      <c r="O60" s="233"/>
      <c r="P60" s="233"/>
      <c r="Q60" s="233"/>
      <c r="R60" s="233"/>
      <c r="S60" s="233"/>
    </row>
    <row r="61" spans="2:19" ht="15.5">
      <c r="B61" s="330"/>
      <c r="C61" s="331" t="str">
        <f>"C.   Determine Gross Margin Tax with hypothetical "&amp;F13&amp;" basis point increase in ROE."</f>
        <v>C.   Determine Gross Margin Tax with hypothetical 0 basis point increase in ROE.</v>
      </c>
      <c r="D61" s="332"/>
      <c r="E61" s="332"/>
      <c r="F61" s="333"/>
      <c r="G61" s="330"/>
      <c r="H61" s="334"/>
      <c r="I61" s="330"/>
      <c r="J61" s="243"/>
      <c r="K61" s="233"/>
      <c r="L61" s="233"/>
      <c r="M61" s="233"/>
      <c r="N61" s="233"/>
      <c r="O61" s="233"/>
      <c r="P61" s="233"/>
      <c r="Q61" s="233"/>
      <c r="R61" s="233"/>
      <c r="S61" s="233"/>
    </row>
    <row r="62" spans="2:19" ht="12.5">
      <c r="B62" s="330"/>
      <c r="C62" s="325" t="str">
        <f>"   Net Revenue Requirement before Gross Margin Taxes, with "&amp;F13&amp;" "</f>
        <v xml:space="preserve">   Net Revenue Requirement before Gross Margin Taxes, with 0 </v>
      </c>
      <c r="D62" s="332"/>
      <c r="E62" s="332"/>
      <c r="F62" s="333">
        <f>+F55</f>
        <v>101894057.54098205</v>
      </c>
      <c r="G62" s="330"/>
      <c r="H62" s="334"/>
      <c r="I62" s="330"/>
      <c r="J62" s="243"/>
      <c r="K62" s="233"/>
      <c r="L62" s="233"/>
      <c r="M62" s="233"/>
      <c r="N62" s="233"/>
      <c r="O62" s="233"/>
      <c r="P62" s="233"/>
      <c r="Q62" s="233"/>
      <c r="R62" s="233"/>
      <c r="S62" s="233"/>
    </row>
    <row r="63" spans="2:19" ht="12.5">
      <c r="B63" s="330"/>
      <c r="C63" s="325" t="s">
        <v>28</v>
      </c>
      <c r="D63" s="332"/>
      <c r="E63" s="332"/>
      <c r="F63" s="333"/>
      <c r="G63" s="330"/>
      <c r="H63" s="334"/>
      <c r="I63" s="330"/>
      <c r="J63" s="243"/>
      <c r="K63" s="233"/>
      <c r="L63" s="233"/>
      <c r="M63" s="233"/>
      <c r="N63" s="233"/>
      <c r="O63" s="233"/>
      <c r="P63" s="233"/>
      <c r="Q63" s="233"/>
      <c r="R63" s="233"/>
      <c r="S63" s="233"/>
    </row>
    <row r="64" spans="2:19" ht="12.5">
      <c r="B64" s="330"/>
      <c r="C64" s="312" t="str">
        <f>+S122</f>
        <v xml:space="preserve">       Apportionment Factor to Texas (Worksheet K, ln 12)</v>
      </c>
      <c r="D64" s="296"/>
      <c r="E64" s="330"/>
      <c r="F64" s="335">
        <f>+R122</f>
        <v>0</v>
      </c>
      <c r="G64" s="330"/>
      <c r="H64" s="334"/>
      <c r="I64" s="330"/>
      <c r="J64" s="243"/>
      <c r="K64" s="233"/>
      <c r="L64" s="233"/>
      <c r="M64" s="233"/>
      <c r="N64" s="233"/>
      <c r="O64" s="233"/>
      <c r="P64" s="233"/>
      <c r="Q64" s="233"/>
      <c r="R64" s="233"/>
      <c r="S64" s="233"/>
    </row>
    <row r="65" spans="2:19" ht="12.5">
      <c r="B65" s="330"/>
      <c r="C65" s="312" t="s">
        <v>29</v>
      </c>
      <c r="D65" s="296"/>
      <c r="E65" s="330"/>
      <c r="F65" s="333">
        <f>+F62*F64</f>
        <v>0</v>
      </c>
      <c r="G65" s="330"/>
      <c r="H65" s="334"/>
      <c r="I65" s="330"/>
      <c r="J65" s="243"/>
      <c r="K65" s="233"/>
      <c r="L65" s="233"/>
      <c r="M65" s="233"/>
      <c r="N65" s="233"/>
      <c r="O65" s="233"/>
      <c r="P65" s="233"/>
      <c r="Q65" s="233"/>
      <c r="R65" s="233"/>
      <c r="S65" s="233"/>
    </row>
    <row r="66" spans="2:19" ht="12.5">
      <c r="B66" s="330"/>
      <c r="C66" s="312" t="s">
        <v>288</v>
      </c>
      <c r="D66" s="296"/>
      <c r="E66" s="330"/>
      <c r="F66" s="336">
        <v>0.22</v>
      </c>
      <c r="G66" s="330"/>
      <c r="H66" s="334"/>
      <c r="I66" s="330"/>
      <c r="J66" s="243"/>
      <c r="K66" s="233"/>
      <c r="L66" s="233"/>
      <c r="M66" s="233"/>
      <c r="N66" s="233"/>
      <c r="O66" s="233"/>
      <c r="P66" s="233"/>
      <c r="Q66" s="233"/>
      <c r="R66" s="233"/>
      <c r="S66" s="233"/>
    </row>
    <row r="67" spans="2:19" ht="12.5">
      <c r="B67" s="330"/>
      <c r="C67" s="312" t="s">
        <v>30</v>
      </c>
      <c r="D67" s="296"/>
      <c r="E67" s="330"/>
      <c r="F67" s="333">
        <f>+F65*F66</f>
        <v>0</v>
      </c>
      <c r="G67" s="330"/>
      <c r="H67" s="334"/>
      <c r="I67" s="330"/>
      <c r="J67" s="243"/>
      <c r="K67" s="233"/>
      <c r="L67" s="233"/>
      <c r="M67" s="233"/>
      <c r="N67" s="233"/>
      <c r="O67" s="233"/>
      <c r="P67" s="233"/>
      <c r="Q67" s="233"/>
      <c r="R67" s="233"/>
      <c r="S67" s="233"/>
    </row>
    <row r="68" spans="2:19" ht="12.5">
      <c r="B68" s="330"/>
      <c r="C68" s="312" t="s">
        <v>31</v>
      </c>
      <c r="D68" s="296"/>
      <c r="E68" s="330"/>
      <c r="F68" s="336">
        <v>0.01</v>
      </c>
      <c r="G68" s="330"/>
      <c r="H68" s="334"/>
      <c r="I68" s="330"/>
      <c r="J68" s="243"/>
      <c r="K68" s="233"/>
      <c r="L68" s="233"/>
      <c r="M68" s="233"/>
      <c r="N68" s="233"/>
      <c r="O68" s="233"/>
      <c r="P68" s="233"/>
      <c r="Q68" s="233"/>
      <c r="R68" s="233"/>
      <c r="S68" s="233"/>
    </row>
    <row r="69" spans="2:19" ht="12.5">
      <c r="B69" s="330"/>
      <c r="C69" s="312" t="s">
        <v>32</v>
      </c>
      <c r="D69" s="296"/>
      <c r="E69" s="330"/>
      <c r="F69" s="333">
        <f>+F67*F68</f>
        <v>0</v>
      </c>
      <c r="G69" s="330"/>
      <c r="H69" s="334"/>
      <c r="I69" s="330"/>
      <c r="J69" s="243"/>
      <c r="K69" s="233"/>
      <c r="L69" s="233"/>
      <c r="M69" s="233"/>
      <c r="N69" s="233"/>
      <c r="O69" s="233"/>
      <c r="P69" s="233"/>
      <c r="Q69" s="233"/>
      <c r="R69" s="233"/>
      <c r="S69" s="233"/>
    </row>
    <row r="70" spans="2:19" ht="12.5">
      <c r="B70" s="330"/>
      <c r="C70" s="312" t="s">
        <v>33</v>
      </c>
      <c r="D70" s="296"/>
      <c r="E70" s="330"/>
      <c r="F70" s="337">
        <f>+ROUND((F69*F66*F64)/(1-F68)*F68,0)</f>
        <v>0</v>
      </c>
      <c r="G70" s="330"/>
      <c r="H70" s="334"/>
      <c r="I70" s="330"/>
      <c r="J70" s="243"/>
      <c r="K70" s="233"/>
      <c r="L70" s="233"/>
      <c r="M70" s="233"/>
      <c r="N70" s="233"/>
      <c r="O70" s="233"/>
      <c r="P70" s="233"/>
      <c r="Q70" s="233"/>
      <c r="R70" s="233"/>
      <c r="S70" s="233"/>
    </row>
    <row r="71" spans="2:19" ht="12.5">
      <c r="B71" s="330"/>
      <c r="C71" s="312" t="s">
        <v>34</v>
      </c>
      <c r="D71" s="296"/>
      <c r="E71" s="330"/>
      <c r="F71" s="333">
        <f>+F69+F70</f>
        <v>0</v>
      </c>
      <c r="G71" s="330"/>
      <c r="H71" s="334"/>
      <c r="I71" s="330"/>
      <c r="J71" s="243"/>
      <c r="K71" s="233"/>
      <c r="L71" s="233"/>
      <c r="M71" s="233"/>
      <c r="N71" s="233"/>
      <c r="O71" s="233"/>
      <c r="P71" s="233"/>
      <c r="Q71" s="233"/>
      <c r="R71" s="233"/>
      <c r="S71" s="233"/>
    </row>
    <row r="72" spans="2:19" ht="12.5">
      <c r="B72" s="233"/>
      <c r="C72" s="233"/>
      <c r="D72" s="241"/>
      <c r="E72" s="233"/>
      <c r="F72" s="233"/>
      <c r="G72" s="233"/>
      <c r="H72" s="242"/>
      <c r="I72" s="233"/>
      <c r="J72" s="243"/>
      <c r="K72" s="233"/>
      <c r="L72" s="233"/>
      <c r="M72" s="233"/>
      <c r="N72" s="233"/>
      <c r="O72" s="233"/>
      <c r="P72" s="233"/>
      <c r="Q72" s="233"/>
      <c r="R72" s="233"/>
      <c r="S72" s="233"/>
    </row>
    <row r="73" spans="2:19" ht="15.5">
      <c r="B73" s="233"/>
      <c r="C73" s="245" t="str">
        <f>"D.   Determine FCR with hypothetical "&amp;F13&amp;" basis point ROE increase."</f>
        <v>D.   Determine FCR with hypothetical 0 basis point ROE increase.</v>
      </c>
      <c r="D73" s="241"/>
      <c r="E73" s="233"/>
      <c r="F73" s="233"/>
      <c r="G73" s="233"/>
      <c r="H73" s="242"/>
      <c r="I73" s="233"/>
      <c r="J73" s="243"/>
      <c r="K73" s="233"/>
      <c r="L73" s="233"/>
      <c r="M73" s="233"/>
      <c r="N73" s="233"/>
      <c r="O73" s="233"/>
      <c r="P73" s="233"/>
      <c r="Q73" s="233"/>
      <c r="R73" s="233"/>
      <c r="S73" s="233"/>
    </row>
    <row r="74" spans="2:19" ht="12.5">
      <c r="B74" s="233"/>
      <c r="C74" s="233"/>
      <c r="D74" s="241"/>
      <c r="E74" s="233"/>
      <c r="F74" s="233"/>
      <c r="G74" s="233"/>
      <c r="H74" s="242"/>
      <c r="I74" s="233"/>
      <c r="J74" s="243"/>
      <c r="K74" s="233"/>
      <c r="L74" s="233"/>
      <c r="M74" s="233"/>
      <c r="N74" s="233"/>
      <c r="O74" s="233"/>
      <c r="P74" s="233"/>
      <c r="Q74" s="233"/>
      <c r="R74" s="233"/>
      <c r="S74" s="233"/>
    </row>
    <row r="75" spans="2:19" ht="12.5">
      <c r="B75" s="233"/>
      <c r="C75" s="248" t="str">
        <f>+S123</f>
        <v xml:space="preserve">   Net Transmission Plant  (TCOS, ln 37)</v>
      </c>
      <c r="D75" s="241"/>
      <c r="E75" s="233"/>
      <c r="F75" s="297">
        <f>+R123</f>
        <v>682245064.30034721</v>
      </c>
      <c r="G75" s="246"/>
      <c r="H75" s="217"/>
      <c r="J75" s="195"/>
      <c r="P75" s="233"/>
      <c r="Q75" s="233"/>
      <c r="R75" s="233"/>
      <c r="S75" s="233"/>
    </row>
    <row r="76" spans="2:19" ht="12.5">
      <c r="B76" s="233"/>
      <c r="C76" s="312" t="str">
        <f>"   Net Revenue Requirement, with "&amp;F13&amp;" Basis Point ROE increase"</f>
        <v xml:space="preserve">   Net Revenue Requirement, with 0 Basis Point ROE increase</v>
      </c>
      <c r="D76" s="241"/>
      <c r="E76" s="233"/>
      <c r="F76" s="338">
        <f>F55</f>
        <v>101894057.54098205</v>
      </c>
      <c r="H76" s="217"/>
      <c r="J76" s="195"/>
      <c r="P76" s="233"/>
      <c r="Q76" s="233"/>
      <c r="R76" s="233"/>
      <c r="S76" s="233"/>
    </row>
    <row r="77" spans="2:19" ht="12.5">
      <c r="B77" s="233"/>
      <c r="C77" s="312" t="str">
        <f>"   FCR with "&amp;F13&amp;" Basis Point increase in ROE"</f>
        <v xml:space="preserve">   FCR with 0 Basis Point increase in ROE</v>
      </c>
      <c r="D77" s="241"/>
      <c r="E77" s="233"/>
      <c r="F77" s="339">
        <f>IF(F75=0,0,F76/F75)</f>
        <v>0.14935110984712799</v>
      </c>
      <c r="H77" s="217"/>
      <c r="J77" s="195"/>
      <c r="P77" s="233"/>
      <c r="Q77" s="233"/>
      <c r="R77" s="233"/>
      <c r="S77" s="233"/>
    </row>
    <row r="78" spans="2:19" ht="12.5">
      <c r="B78" s="233"/>
      <c r="D78" s="241"/>
      <c r="E78" s="233"/>
      <c r="F78" s="330"/>
      <c r="H78" s="217"/>
      <c r="J78" s="195"/>
      <c r="P78" s="233"/>
      <c r="Q78" s="233"/>
      <c r="R78" s="233"/>
      <c r="S78" s="233"/>
    </row>
    <row r="79" spans="2:19" ht="12.5">
      <c r="B79" s="233"/>
      <c r="C79" s="312" t="str">
        <f>"   Net Rev. Req, w / "&amp;F13&amp;" Basis Point ROE increase, less Dep."</f>
        <v xml:space="preserve">   Net Rev. Req, w / 0 Basis Point ROE increase, less Dep.</v>
      </c>
      <c r="D79" s="241"/>
      <c r="E79" s="233"/>
      <c r="F79" s="297">
        <f>F59</f>
        <v>80971046.54683508</v>
      </c>
      <c r="G79" s="246"/>
      <c r="H79" s="217"/>
      <c r="J79" s="195"/>
      <c r="P79" s="233"/>
      <c r="Q79" s="233"/>
      <c r="R79" s="233"/>
      <c r="S79" s="233"/>
    </row>
    <row r="80" spans="2:19" ht="12.5">
      <c r="B80" s="233"/>
      <c r="C80" s="312" t="str">
        <f>"   FCR with "&amp;F13&amp;" Basis Point ROE increase, less Depreciation"</f>
        <v xml:space="preserve">   FCR with 0 Basis Point ROE increase, less Depreciation</v>
      </c>
      <c r="D80" s="241"/>
      <c r="E80" s="233"/>
      <c r="F80" s="339">
        <f>IF(F75=0,0,F79/F75)</f>
        <v>0.11868322804192381</v>
      </c>
      <c r="G80" s="339"/>
      <c r="H80" s="217"/>
      <c r="J80" s="195"/>
      <c r="P80" s="233"/>
      <c r="Q80" s="233"/>
      <c r="R80" s="233"/>
      <c r="S80" s="233"/>
    </row>
    <row r="81" spans="2:19" ht="12.5">
      <c r="B81" s="233"/>
      <c r="C81" s="248" t="str">
        <f>+S124</f>
        <v xml:space="preserve">   FCR less Depreciation  (Projected TCOS, ln 12)</v>
      </c>
      <c r="D81" s="241"/>
      <c r="E81" s="233"/>
      <c r="F81" s="340">
        <f>+R124</f>
        <v>0.11505633525681883</v>
      </c>
      <c r="H81" s="217"/>
      <c r="J81" s="195"/>
      <c r="P81" s="233"/>
      <c r="Q81" s="233"/>
      <c r="R81" s="233"/>
      <c r="S81" s="233"/>
    </row>
    <row r="82" spans="2:19" ht="12.5">
      <c r="B82" s="233"/>
      <c r="C82" s="641" t="str">
        <f>"   Incremental FCR with "&amp;F13&amp;" Basis Point ROE increase, less Depreciation"</f>
        <v xml:space="preserve">   Incremental FCR with 0 Basis Point ROE increase, less Depreciation</v>
      </c>
      <c r="D82" s="642"/>
      <c r="E82" s="642"/>
      <c r="F82" s="339">
        <f>F80-F81</f>
        <v>3.6268927851049876E-3</v>
      </c>
      <c r="H82" s="217"/>
      <c r="J82" s="195"/>
      <c r="P82" s="233"/>
      <c r="Q82" s="233"/>
      <c r="R82" s="233"/>
      <c r="S82" s="233"/>
    </row>
    <row r="83" spans="2:19" ht="12.5">
      <c r="B83" s="233"/>
      <c r="C83" s="642"/>
      <c r="D83" s="642"/>
      <c r="E83" s="642"/>
      <c r="F83" s="339"/>
      <c r="G83" s="233"/>
      <c r="H83" s="242"/>
      <c r="I83" s="233"/>
      <c r="J83" s="243"/>
      <c r="K83" s="233"/>
      <c r="L83" s="233"/>
      <c r="M83" s="233"/>
      <c r="N83" s="233"/>
      <c r="O83" s="233"/>
      <c r="P83" s="233"/>
      <c r="Q83" s="233"/>
      <c r="R83" s="233"/>
      <c r="S83" s="233"/>
    </row>
    <row r="84" spans="2:19" ht="18">
      <c r="B84" s="303" t="s">
        <v>35</v>
      </c>
      <c r="C84" s="304" t="s">
        <v>36</v>
      </c>
      <c r="D84" s="241"/>
      <c r="E84" s="233"/>
      <c r="F84" s="339"/>
      <c r="G84" s="233"/>
      <c r="H84" s="242"/>
      <c r="I84" s="233"/>
      <c r="J84" s="243"/>
      <c r="K84" s="233"/>
      <c r="L84" s="233"/>
      <c r="M84" s="233"/>
      <c r="N84" s="233"/>
      <c r="O84" s="233"/>
      <c r="P84" s="233"/>
      <c r="Q84" s="233"/>
      <c r="R84" s="233"/>
      <c r="S84" s="233"/>
    </row>
    <row r="85" spans="2:19" ht="12.75" customHeight="1">
      <c r="B85" s="303"/>
      <c r="C85" s="304"/>
      <c r="D85" s="241"/>
      <c r="E85" s="233"/>
      <c r="F85" s="339"/>
      <c r="G85" s="233"/>
      <c r="H85" s="242"/>
      <c r="I85" s="233"/>
      <c r="J85" s="243"/>
      <c r="K85" s="233"/>
      <c r="L85" s="233"/>
      <c r="M85" s="233"/>
      <c r="N85" s="233"/>
      <c r="O85" s="233"/>
      <c r="P85" s="233"/>
      <c r="Q85" s="233"/>
      <c r="R85" s="233"/>
      <c r="S85" s="233"/>
    </row>
    <row r="86" spans="2:19" ht="12.75" customHeight="1">
      <c r="B86" s="303"/>
      <c r="C86" s="312" t="s">
        <v>37</v>
      </c>
      <c r="D86" s="241"/>
      <c r="F86" s="334">
        <f>+R125</f>
        <v>948661097</v>
      </c>
      <c r="G86" s="233" t="s">
        <v>283</v>
      </c>
      <c r="H86" s="242"/>
      <c r="I86" s="233"/>
      <c r="J86" s="243"/>
      <c r="K86" s="233"/>
      <c r="L86" s="233"/>
      <c r="M86" s="233"/>
      <c r="N86" s="233"/>
      <c r="O86" s="233"/>
      <c r="P86" s="233"/>
      <c r="Q86" s="233"/>
      <c r="R86" s="233"/>
      <c r="S86" s="233"/>
    </row>
    <row r="87" spans="2:19" ht="12.75" customHeight="1">
      <c r="B87" s="303"/>
      <c r="C87" s="312" t="s">
        <v>38</v>
      </c>
      <c r="D87" s="241"/>
      <c r="F87" s="341">
        <f>R126</f>
        <v>1069907872</v>
      </c>
      <c r="G87" s="233" t="s">
        <v>283</v>
      </c>
      <c r="H87" s="242"/>
      <c r="I87" s="233"/>
      <c r="J87" s="243"/>
      <c r="K87" s="233"/>
      <c r="L87" s="233"/>
      <c r="M87" s="233"/>
      <c r="N87" s="233"/>
      <c r="O87" s="233"/>
      <c r="P87" s="233"/>
      <c r="Q87" s="233"/>
      <c r="R87" s="233"/>
      <c r="S87" s="233"/>
    </row>
    <row r="88" spans="2:19" ht="12.5">
      <c r="B88" s="233"/>
      <c r="C88" s="312"/>
      <c r="D88" s="241"/>
      <c r="F88" s="242">
        <f>+F87+F86</f>
        <v>2018568969</v>
      </c>
      <c r="G88" s="297"/>
      <c r="H88" s="242"/>
      <c r="I88" s="233"/>
      <c r="J88" s="243"/>
      <c r="K88" s="233"/>
      <c r="L88" s="233"/>
      <c r="M88" s="233"/>
      <c r="N88" s="233"/>
      <c r="O88" s="233"/>
      <c r="P88" s="233"/>
      <c r="Q88" s="233"/>
      <c r="R88" s="233"/>
      <c r="S88" s="233"/>
    </row>
    <row r="89" spans="2:19" ht="12.5">
      <c r="B89" s="233"/>
      <c r="C89" s="312" t="str">
        <f>S127</f>
        <v>Transmission Plant Average Balance for 2020</v>
      </c>
      <c r="D89" s="296"/>
      <c r="E89" s="155"/>
      <c r="F89" s="323">
        <f>+F88/2</f>
        <v>1009284484.5</v>
      </c>
      <c r="G89" s="342"/>
      <c r="H89" s="242"/>
      <c r="I89" s="233"/>
      <c r="J89" s="243"/>
      <c r="K89" s="233"/>
      <c r="L89" s="233"/>
      <c r="M89" s="233"/>
      <c r="N89" s="233"/>
      <c r="O89" s="233"/>
      <c r="P89" s="233"/>
      <c r="Q89" s="233"/>
      <c r="R89" s="233"/>
      <c r="S89" s="233"/>
    </row>
    <row r="90" spans="2:19" ht="12.5">
      <c r="B90" s="233"/>
      <c r="C90" s="248" t="str">
        <f>S128</f>
        <v>Annual Depreciation Expense  (Historic TCOS, ln 244)</v>
      </c>
      <c r="D90" s="296"/>
      <c r="E90" s="330"/>
      <c r="F90" s="323">
        <f>R128</f>
        <v>23222372</v>
      </c>
      <c r="G90" s="233"/>
      <c r="H90" s="242"/>
      <c r="I90" s="233"/>
      <c r="J90" s="243"/>
      <c r="K90" s="233"/>
      <c r="L90" s="233"/>
      <c r="M90" s="233"/>
      <c r="N90" s="233"/>
      <c r="O90" s="233"/>
      <c r="P90" s="233"/>
      <c r="Q90" s="233"/>
      <c r="R90" s="233"/>
      <c r="S90" s="233"/>
    </row>
    <row r="91" spans="2:19" ht="12.5">
      <c r="B91" s="233"/>
      <c r="C91" s="312" t="s">
        <v>39</v>
      </c>
      <c r="D91" s="241"/>
      <c r="E91" s="233"/>
      <c r="F91" s="339">
        <f>IF(F89=0,0,F90/F89)</f>
        <v>2.3008747639179625E-2</v>
      </c>
      <c r="G91" s="233"/>
      <c r="H91" s="343"/>
      <c r="I91" s="233"/>
      <c r="J91" s="243"/>
      <c r="K91" s="233"/>
      <c r="L91" s="233"/>
      <c r="M91" s="233"/>
      <c r="N91" s="233"/>
      <c r="O91" s="233"/>
      <c r="P91" s="233"/>
      <c r="Q91" s="233"/>
      <c r="R91" s="233"/>
      <c r="S91" s="233"/>
    </row>
    <row r="92" spans="2:19" ht="12.5">
      <c r="B92" s="233"/>
      <c r="C92" s="312" t="s">
        <v>40</v>
      </c>
      <c r="D92" s="241"/>
      <c r="E92" s="233"/>
      <c r="F92" s="344">
        <f>IF(F91=0,0,1/F91)</f>
        <v>43.461730976491118</v>
      </c>
      <c r="H92" s="242"/>
      <c r="I92" s="233"/>
      <c r="J92" s="243"/>
      <c r="K92" s="233"/>
      <c r="L92" s="233"/>
      <c r="M92" s="233"/>
      <c r="N92" s="233"/>
      <c r="O92" s="233"/>
      <c r="P92" s="233"/>
      <c r="Q92" s="233"/>
      <c r="R92" s="233"/>
      <c r="S92" s="233"/>
    </row>
    <row r="93" spans="2:19" ht="12.5">
      <c r="B93" s="233"/>
      <c r="C93" s="312" t="s">
        <v>41</v>
      </c>
      <c r="D93" s="241"/>
      <c r="E93" s="233"/>
      <c r="F93" s="345">
        <f>ROUND(F92,0)</f>
        <v>43</v>
      </c>
      <c r="G93" s="233"/>
      <c r="H93" s="242"/>
      <c r="I93" s="233"/>
      <c r="J93" s="243"/>
      <c r="K93" s="233"/>
      <c r="L93" s="233"/>
      <c r="M93" s="233"/>
      <c r="N93" s="233"/>
      <c r="O93" s="233"/>
      <c r="P93" s="233"/>
      <c r="Q93" s="233"/>
      <c r="R93" s="233"/>
      <c r="S93" s="233"/>
    </row>
    <row r="94" spans="2:19" ht="12.5">
      <c r="C94" s="346"/>
      <c r="D94" s="347"/>
      <c r="E94" s="347"/>
      <c r="F94" s="347"/>
      <c r="G94" s="348"/>
      <c r="H94" s="348"/>
      <c r="I94" s="349"/>
      <c r="J94" s="349"/>
      <c r="K94" s="349"/>
      <c r="L94" s="349"/>
      <c r="M94" s="349"/>
      <c r="N94" s="349"/>
      <c r="O94" s="243"/>
      <c r="P94" s="243"/>
      <c r="Q94" s="233"/>
      <c r="R94" s="233"/>
      <c r="S94" s="233"/>
    </row>
    <row r="95" spans="2:19" ht="12.5">
      <c r="C95" s="346"/>
      <c r="D95" s="347"/>
      <c r="E95" s="347"/>
      <c r="F95" s="347"/>
      <c r="G95" s="348"/>
      <c r="H95" s="348"/>
      <c r="I95" s="349"/>
      <c r="J95" s="349"/>
      <c r="K95" s="349"/>
      <c r="L95" s="349"/>
      <c r="M95" s="349"/>
      <c r="N95" s="349"/>
      <c r="O95" s="243"/>
      <c r="P95" s="243"/>
      <c r="Q95" s="233"/>
      <c r="R95" s="233"/>
      <c r="S95" s="233"/>
    </row>
    <row r="96" spans="2:19" ht="12.5">
      <c r="J96" s="195"/>
      <c r="P96" s="233"/>
      <c r="Q96" s="233"/>
      <c r="R96" s="233"/>
      <c r="S96" s="233"/>
    </row>
    <row r="97" spans="3:19" ht="13">
      <c r="J97" s="195"/>
      <c r="P97" s="233"/>
      <c r="Q97" s="233"/>
      <c r="R97" s="350" t="s">
        <v>126</v>
      </c>
      <c r="S97" s="148" t="s">
        <v>127</v>
      </c>
    </row>
    <row r="98" spans="3:19" ht="12.5">
      <c r="J98" s="195"/>
      <c r="P98" s="233"/>
      <c r="Q98" s="233"/>
    </row>
    <row r="99" spans="3:19" ht="13">
      <c r="C99" s="240" t="s">
        <v>122</v>
      </c>
      <c r="J99" s="195"/>
      <c r="L99" s="240" t="s">
        <v>121</v>
      </c>
      <c r="P99" s="233"/>
      <c r="Q99" s="233"/>
    </row>
    <row r="100" spans="3:19" ht="12.5">
      <c r="J100" s="195"/>
      <c r="P100" s="233"/>
      <c r="Q100" s="233"/>
      <c r="S100" s="234" t="s">
        <v>119</v>
      </c>
    </row>
    <row r="101" spans="3:19" ht="13">
      <c r="J101" s="195"/>
      <c r="P101" s="233"/>
      <c r="Q101" s="233"/>
      <c r="R101" s="350" t="s">
        <v>115</v>
      </c>
      <c r="S101" s="204" t="s">
        <v>120</v>
      </c>
    </row>
    <row r="102" spans="3:19" ht="13.5" thickBot="1">
      <c r="J102" s="195"/>
      <c r="P102" s="233"/>
      <c r="Q102" s="233"/>
      <c r="R102" s="351" t="s">
        <v>142</v>
      </c>
    </row>
    <row r="103" spans="3:19" ht="12.5">
      <c r="J103" s="195"/>
      <c r="P103" s="233"/>
      <c r="Q103" s="233"/>
      <c r="R103" s="352" t="s">
        <v>289</v>
      </c>
      <c r="S103" s="353" t="s">
        <v>143</v>
      </c>
    </row>
    <row r="104" spans="3:19" ht="12.5">
      <c r="J104" s="195"/>
      <c r="P104" s="233"/>
      <c r="Q104" s="233"/>
      <c r="R104" s="354">
        <v>2020</v>
      </c>
      <c r="S104" s="355" t="s">
        <v>13</v>
      </c>
    </row>
    <row r="105" spans="3:19" ht="12.5">
      <c r="J105" s="195"/>
      <c r="P105" s="233"/>
      <c r="Q105" s="233"/>
      <c r="R105" s="356">
        <v>0.105</v>
      </c>
      <c r="S105" s="355" t="s">
        <v>312</v>
      </c>
    </row>
    <row r="106" spans="3:19" ht="12.5">
      <c r="J106" s="195"/>
      <c r="P106" s="233"/>
      <c r="Q106" s="233"/>
      <c r="R106" s="357">
        <v>0</v>
      </c>
      <c r="S106" s="355" t="s">
        <v>1</v>
      </c>
    </row>
    <row r="107" spans="3:19" ht="12.5">
      <c r="J107" s="195"/>
      <c r="P107" s="233"/>
      <c r="Q107" s="233"/>
      <c r="R107" s="358">
        <v>0.49221422988540209</v>
      </c>
      <c r="S107" s="359" t="s">
        <v>109</v>
      </c>
    </row>
    <row r="108" spans="3:19" ht="12.5">
      <c r="J108" s="195"/>
      <c r="P108" s="233"/>
      <c r="Q108" s="233"/>
      <c r="R108" s="358">
        <v>4.2554973149327033E-2</v>
      </c>
      <c r="S108" s="359" t="s">
        <v>110</v>
      </c>
    </row>
    <row r="109" spans="3:19" ht="12.5">
      <c r="J109" s="195"/>
      <c r="P109" s="233"/>
      <c r="Q109" s="233"/>
      <c r="R109" s="358">
        <v>0</v>
      </c>
      <c r="S109" s="359" t="s">
        <v>111</v>
      </c>
    </row>
    <row r="110" spans="3:19" ht="12.5">
      <c r="J110" s="195"/>
      <c r="P110" s="233"/>
      <c r="Q110" s="233"/>
      <c r="R110" s="358">
        <v>0</v>
      </c>
      <c r="S110" s="359" t="s">
        <v>112</v>
      </c>
    </row>
    <row r="111" spans="3:19" ht="12.5">
      <c r="J111" s="195"/>
      <c r="P111" s="233"/>
      <c r="Q111" s="233"/>
      <c r="R111" s="358">
        <v>0.5077857701145978</v>
      </c>
      <c r="S111" s="360" t="s">
        <v>113</v>
      </c>
    </row>
    <row r="112" spans="3:19" ht="12.5">
      <c r="J112" s="195"/>
      <c r="P112" s="233"/>
      <c r="Q112" s="233"/>
      <c r="R112" s="361">
        <v>519813264.9647429</v>
      </c>
      <c r="S112" s="362" t="s">
        <v>329</v>
      </c>
    </row>
    <row r="113" spans="3:19" ht="12.5">
      <c r="J113" s="195"/>
      <c r="P113" s="233"/>
      <c r="Q113" s="233"/>
      <c r="R113" s="363">
        <v>0.25329199999999996</v>
      </c>
      <c r="S113" s="364" t="s">
        <v>330</v>
      </c>
    </row>
    <row r="114" spans="3:19" ht="12.5">
      <c r="J114" s="195"/>
      <c r="P114" s="233"/>
      <c r="Q114" s="233"/>
      <c r="R114" s="361">
        <v>-478625.26595583552</v>
      </c>
      <c r="S114" s="364" t="s">
        <v>331</v>
      </c>
    </row>
    <row r="115" spans="3:19" ht="12.5">
      <c r="J115" s="195"/>
      <c r="P115" s="233"/>
      <c r="Q115" s="233"/>
      <c r="R115" s="361">
        <v>-4278665.0203292314</v>
      </c>
      <c r="S115" s="364" t="s">
        <v>332</v>
      </c>
    </row>
    <row r="116" spans="3:19" ht="12.5">
      <c r="J116" s="195"/>
      <c r="P116" s="233"/>
      <c r="Q116" s="233"/>
      <c r="R116" s="361">
        <v>69243.01065476732</v>
      </c>
      <c r="S116" s="364" t="s">
        <v>333</v>
      </c>
    </row>
    <row r="117" spans="3:19" ht="12.5">
      <c r="C117" s="233"/>
      <c r="D117" s="241"/>
      <c r="E117" s="233"/>
      <c r="F117" s="233"/>
      <c r="G117" s="233"/>
      <c r="H117" s="242"/>
      <c r="I117" s="233"/>
      <c r="J117" s="243"/>
      <c r="K117" s="233"/>
      <c r="L117" s="233"/>
      <c r="M117" s="233"/>
      <c r="N117" s="233"/>
      <c r="O117" s="233"/>
      <c r="P117" s="233"/>
      <c r="Q117" s="233"/>
      <c r="R117" s="361">
        <v>99419627.839597642</v>
      </c>
      <c r="S117" s="364" t="s">
        <v>334</v>
      </c>
    </row>
    <row r="118" spans="3:19" ht="12.5">
      <c r="C118" s="233"/>
      <c r="D118" s="241"/>
      <c r="E118" s="233"/>
      <c r="F118" s="233"/>
      <c r="G118" s="233"/>
      <c r="H118" s="242"/>
      <c r="I118" s="233"/>
      <c r="J118" s="243"/>
      <c r="K118" s="233"/>
      <c r="L118" s="233"/>
      <c r="M118" s="233"/>
      <c r="N118" s="233"/>
      <c r="O118" s="233"/>
      <c r="P118" s="233"/>
      <c r="Q118" s="233"/>
      <c r="R118" s="361">
        <v>38603240.354345709</v>
      </c>
      <c r="S118" s="364" t="s">
        <v>335</v>
      </c>
    </row>
    <row r="119" spans="3:19" ht="12.5">
      <c r="C119" s="233"/>
      <c r="D119" s="241"/>
      <c r="E119" s="233"/>
      <c r="F119" s="233"/>
      <c r="G119" s="233"/>
      <c r="H119" s="242"/>
      <c r="I119" s="233"/>
      <c r="J119" s="243"/>
      <c r="K119" s="233"/>
      <c r="L119" s="233"/>
      <c r="M119" s="233"/>
      <c r="N119" s="233"/>
      <c r="O119" s="233"/>
      <c r="P119" s="233"/>
      <c r="Q119" s="233"/>
      <c r="R119" s="361">
        <v>4713251.443215535</v>
      </c>
      <c r="S119" s="364" t="s">
        <v>336</v>
      </c>
    </row>
    <row r="120" spans="3:19" ht="12.5">
      <c r="C120" s="233"/>
      <c r="D120" s="241"/>
      <c r="E120" s="233"/>
      <c r="F120" s="233"/>
      <c r="G120" s="233"/>
      <c r="H120" s="242"/>
      <c r="I120" s="233"/>
      <c r="J120" s="243"/>
      <c r="K120" s="233"/>
      <c r="L120" s="233"/>
      <c r="M120" s="233"/>
      <c r="N120" s="233"/>
      <c r="O120" s="233"/>
      <c r="P120" s="233"/>
      <c r="Q120" s="233"/>
      <c r="R120" s="361">
        <v>0</v>
      </c>
      <c r="S120" s="364" t="s">
        <v>337</v>
      </c>
    </row>
    <row r="121" spans="3:19" ht="12.5">
      <c r="C121" s="233"/>
      <c r="D121" s="241"/>
      <c r="E121" s="233"/>
      <c r="F121" s="233"/>
      <c r="G121" s="233"/>
      <c r="H121" s="242"/>
      <c r="I121" s="233"/>
      <c r="J121" s="243"/>
      <c r="K121" s="233"/>
      <c r="L121" s="233"/>
      <c r="M121" s="233"/>
      <c r="N121" s="233"/>
      <c r="O121" s="233"/>
      <c r="P121" s="233"/>
      <c r="Q121" s="233"/>
      <c r="R121" s="361">
        <v>20923010.994146973</v>
      </c>
      <c r="S121" s="364" t="s">
        <v>338</v>
      </c>
    </row>
    <row r="122" spans="3:19" ht="12.5">
      <c r="C122" s="233"/>
      <c r="D122" s="241"/>
      <c r="E122" s="233"/>
      <c r="F122" s="233"/>
      <c r="G122" s="233"/>
      <c r="H122" s="242"/>
      <c r="I122" s="233"/>
      <c r="J122" s="243"/>
      <c r="K122" s="233"/>
      <c r="L122" s="233"/>
      <c r="M122" s="233"/>
      <c r="N122" s="233"/>
      <c r="O122" s="233"/>
      <c r="P122" s="233"/>
      <c r="Q122" s="233"/>
      <c r="R122" s="363">
        <v>0</v>
      </c>
      <c r="S122" s="364" t="s">
        <v>118</v>
      </c>
    </row>
    <row r="123" spans="3:19" ht="12.5">
      <c r="C123" s="233"/>
      <c r="D123" s="241"/>
      <c r="E123" s="233"/>
      <c r="F123" s="233"/>
      <c r="G123" s="233"/>
      <c r="H123" s="242"/>
      <c r="I123" s="233"/>
      <c r="J123" s="243"/>
      <c r="K123" s="233"/>
      <c r="L123" s="233"/>
      <c r="M123" s="233"/>
      <c r="N123" s="233"/>
      <c r="O123" s="233"/>
      <c r="P123" s="233"/>
      <c r="Q123" s="233"/>
      <c r="R123" s="361">
        <v>682245064.30034721</v>
      </c>
      <c r="S123" s="364" t="s">
        <v>339</v>
      </c>
    </row>
    <row r="124" spans="3:19" ht="12.5">
      <c r="C124" s="233"/>
      <c r="D124" s="241"/>
      <c r="E124" s="233"/>
      <c r="F124" s="233"/>
      <c r="G124" s="233"/>
      <c r="H124" s="242"/>
      <c r="I124" s="233"/>
      <c r="J124" s="243"/>
      <c r="K124" s="233"/>
      <c r="L124" s="233"/>
      <c r="M124" s="233"/>
      <c r="N124" s="233"/>
      <c r="O124" s="233"/>
      <c r="P124" s="233"/>
      <c r="Q124" s="233"/>
      <c r="R124" s="365">
        <v>0.11505633525681883</v>
      </c>
      <c r="S124" s="366" t="s">
        <v>290</v>
      </c>
    </row>
    <row r="125" spans="3:19" ht="12.5">
      <c r="C125" s="233"/>
      <c r="D125" s="241"/>
      <c r="E125" s="233"/>
      <c r="F125" s="233"/>
      <c r="G125" s="233"/>
      <c r="H125" s="242"/>
      <c r="I125" s="233"/>
      <c r="J125" s="243"/>
      <c r="K125" s="233"/>
      <c r="L125" s="233"/>
      <c r="M125" s="233"/>
      <c r="N125" s="233"/>
      <c r="O125" s="233"/>
      <c r="P125" s="233"/>
      <c r="Q125" s="233"/>
      <c r="R125" s="367">
        <v>948661097</v>
      </c>
      <c r="S125" s="359" t="s">
        <v>37</v>
      </c>
    </row>
    <row r="126" spans="3:19" ht="12.5">
      <c r="C126" s="233"/>
      <c r="D126" s="241"/>
      <c r="E126" s="233"/>
      <c r="F126" s="233"/>
      <c r="G126" s="233"/>
      <c r="H126" s="242"/>
      <c r="I126" s="233"/>
      <c r="J126" s="243"/>
      <c r="K126" s="233"/>
      <c r="L126" s="233"/>
      <c r="M126" s="233"/>
      <c r="N126" s="233"/>
      <c r="O126" s="233"/>
      <c r="P126" s="233"/>
      <c r="Q126" s="233"/>
      <c r="R126" s="367">
        <v>1069907872</v>
      </c>
      <c r="S126" s="360" t="s">
        <v>38</v>
      </c>
    </row>
    <row r="127" spans="3:19" ht="12.5">
      <c r="C127" s="233"/>
      <c r="D127" s="241"/>
      <c r="E127" s="233"/>
      <c r="F127" s="233"/>
      <c r="G127" s="233"/>
      <c r="H127" s="242"/>
      <c r="I127" s="233"/>
      <c r="J127" s="243"/>
      <c r="K127" s="233"/>
      <c r="L127" s="233"/>
      <c r="M127" s="233"/>
      <c r="N127" s="233"/>
      <c r="O127" s="233"/>
      <c r="P127" s="233"/>
      <c r="Q127" s="233"/>
      <c r="R127" s="367">
        <v>977376119.53846157</v>
      </c>
      <c r="S127" s="368" t="s">
        <v>349</v>
      </c>
    </row>
    <row r="128" spans="3:19" ht="13" thickBot="1">
      <c r="C128" s="233"/>
      <c r="D128" s="241"/>
      <c r="E128" s="233"/>
      <c r="F128" s="233"/>
      <c r="G128" s="233"/>
      <c r="H128" s="242"/>
      <c r="I128" s="233"/>
      <c r="J128" s="243"/>
      <c r="K128" s="233"/>
      <c r="L128" s="233"/>
      <c r="M128" s="233"/>
      <c r="N128" s="233"/>
      <c r="O128" s="233"/>
      <c r="P128" s="233"/>
      <c r="Q128" s="233"/>
      <c r="R128" s="369">
        <v>23222372</v>
      </c>
      <c r="S128" s="370" t="s">
        <v>313</v>
      </c>
    </row>
    <row r="129" spans="3:19" ht="12.5">
      <c r="C129" s="233"/>
      <c r="D129" s="241"/>
      <c r="E129" s="233"/>
      <c r="F129" s="233"/>
      <c r="G129" s="233"/>
      <c r="H129" s="242"/>
      <c r="I129" s="233"/>
      <c r="J129" s="243"/>
      <c r="K129" s="233"/>
      <c r="L129" s="233"/>
      <c r="M129" s="233"/>
      <c r="N129" s="233"/>
      <c r="O129" s="233"/>
      <c r="P129" s="233"/>
      <c r="Q129" s="233"/>
      <c r="R129" s="233"/>
      <c r="S129" s="233"/>
    </row>
    <row r="130" spans="3:19" ht="13">
      <c r="C130" s="233"/>
      <c r="D130" s="241"/>
      <c r="E130" s="233"/>
      <c r="F130" s="233"/>
      <c r="G130" s="233"/>
      <c r="H130" s="242"/>
      <c r="I130" s="233"/>
      <c r="J130" s="243"/>
      <c r="K130" s="233"/>
      <c r="L130" s="233"/>
      <c r="M130" s="233"/>
      <c r="N130" s="233"/>
      <c r="O130" s="233"/>
      <c r="P130" s="233"/>
      <c r="Q130" s="233"/>
      <c r="R130" s="350" t="s">
        <v>116</v>
      </c>
      <c r="S130" s="233" t="s">
        <v>130</v>
      </c>
    </row>
    <row r="131" spans="3:19" ht="13.5" thickBot="1">
      <c r="C131" s="312"/>
      <c r="D131" s="321"/>
      <c r="E131" s="312"/>
      <c r="F131" s="312"/>
      <c r="G131" s="312"/>
      <c r="H131" s="323"/>
      <c r="I131" s="233"/>
      <c r="J131" s="243"/>
      <c r="K131" s="233"/>
      <c r="L131" s="233"/>
      <c r="M131" s="233"/>
      <c r="N131" s="233"/>
      <c r="O131" s="233"/>
      <c r="P131" s="233"/>
      <c r="Q131" s="233"/>
      <c r="R131" s="351" t="s">
        <v>114</v>
      </c>
      <c r="S131" s="233"/>
    </row>
    <row r="132" spans="3:19" ht="12.5">
      <c r="C132" s="312"/>
      <c r="D132" s="321"/>
      <c r="E132" s="312"/>
      <c r="F132" s="312"/>
      <c r="G132" s="312"/>
      <c r="H132" s="323"/>
      <c r="I132" s="233"/>
      <c r="J132" s="243"/>
      <c r="K132" s="233"/>
      <c r="L132" s="233"/>
      <c r="M132" s="233"/>
      <c r="N132" s="233"/>
      <c r="O132" s="233"/>
      <c r="P132" s="233"/>
      <c r="Q132" s="233"/>
      <c r="R132" s="371">
        <f>+M19</f>
        <v>7973838.7799099376</v>
      </c>
      <c r="S132" s="233" t="str">
        <f>+K19&amp;" "&amp;M17</f>
        <v>PROJECTED YEAR Rev Require</v>
      </c>
    </row>
    <row r="133" spans="3:19" ht="12.5">
      <c r="C133" s="312"/>
      <c r="D133" s="321"/>
      <c r="E133" s="312"/>
      <c r="F133" s="312"/>
      <c r="G133" s="312"/>
      <c r="H133" s="323"/>
      <c r="I133" s="233"/>
      <c r="J133" s="243"/>
      <c r="K133" s="233"/>
      <c r="L133" s="233"/>
      <c r="M133" s="233"/>
      <c r="N133" s="233"/>
      <c r="O133" s="233"/>
      <c r="P133" s="233"/>
      <c r="Q133" s="233"/>
      <c r="R133" s="372">
        <f>+N19</f>
        <v>7973838.7799099376</v>
      </c>
      <c r="S133" s="233" t="str">
        <f>K19&amp;" "&amp;N17</f>
        <v>PROJECTED YEAR  W Incentives</v>
      </c>
    </row>
    <row r="134" spans="3:19" ht="13" thickBot="1">
      <c r="C134" s="312"/>
      <c r="D134" s="321"/>
      <c r="E134" s="312"/>
      <c r="F134" s="312"/>
      <c r="G134" s="312"/>
      <c r="H134" s="323"/>
      <c r="I134" s="233"/>
      <c r="J134" s="243"/>
      <c r="K134" s="233"/>
      <c r="L134" s="233"/>
      <c r="M134" s="233"/>
      <c r="N134" s="233"/>
      <c r="O134" s="233"/>
      <c r="P134" s="233"/>
      <c r="Q134" s="233"/>
      <c r="R134" s="373">
        <f>+O19</f>
        <v>0</v>
      </c>
      <c r="S134" s="233" t="str">
        <f>K19&amp;" "&amp;O17</f>
        <v>PROJECTED YEAR Incentive Amounts</v>
      </c>
    </row>
    <row r="135" spans="3:19" ht="12.5">
      <c r="C135" s="312"/>
      <c r="D135" s="321"/>
      <c r="E135" s="312"/>
      <c r="F135" s="312"/>
      <c r="G135" s="312"/>
      <c r="H135" s="323"/>
      <c r="I135" s="233"/>
      <c r="J135" s="243"/>
      <c r="K135" s="233"/>
      <c r="L135" s="233"/>
      <c r="M135" s="233"/>
      <c r="N135" s="233"/>
      <c r="O135" s="233"/>
      <c r="P135" s="233"/>
      <c r="Q135" s="233"/>
      <c r="R135" s="233"/>
      <c r="S135" s="233"/>
    </row>
    <row r="136" spans="3:19" ht="12.75" customHeight="1">
      <c r="R136" s="233"/>
      <c r="S136" s="233"/>
    </row>
    <row r="137" spans="3:19" ht="12.75" customHeight="1">
      <c r="R137" s="350" t="s">
        <v>128</v>
      </c>
      <c r="S137" s="234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horizontalDpi="1200" verticalDpi="1200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P162"/>
  <sheetViews>
    <sheetView view="pageBreakPreview" topLeftCell="A52" zoomScale="80" zoomScaleNormal="100" zoomScaleSheetLayoutView="80" workbookViewId="0">
      <selection activeCell="H104" sqref="H104:I104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17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205069.7033172223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205069.7033172223</v>
      </c>
      <c r="O6" s="233"/>
      <c r="P6" s="233"/>
    </row>
    <row r="7" spans="1:16" ht="13.5" thickBot="1">
      <c r="C7" s="432" t="s">
        <v>46</v>
      </c>
      <c r="D7" s="600" t="s">
        <v>265</v>
      </c>
      <c r="E7" s="601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291</v>
      </c>
      <c r="E9" s="578" t="s">
        <v>292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1692023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2015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39349.372093023259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2015</v>
      </c>
      <c r="D17" s="585">
        <v>1500000</v>
      </c>
      <c r="E17" s="609">
        <v>0</v>
      </c>
      <c r="F17" s="585">
        <v>1500000</v>
      </c>
      <c r="G17" s="609">
        <v>206807.48514960654</v>
      </c>
      <c r="H17" s="588">
        <v>206807.48514960654</v>
      </c>
      <c r="I17" s="476">
        <v>0</v>
      </c>
      <c r="J17" s="476"/>
      <c r="K17" s="477">
        <f t="shared" ref="K17:K22" si="0">G17</f>
        <v>206807.48514960654</v>
      </c>
      <c r="L17" s="604">
        <f t="shared" ref="L17:L22" si="1">IF(K17&lt;&gt;0,+G17-K17,0)</f>
        <v>0</v>
      </c>
      <c r="M17" s="477">
        <f t="shared" ref="M17:M22" si="2">H17</f>
        <v>206807.48514960654</v>
      </c>
      <c r="N17" s="479">
        <f>IF(M17&lt;&gt;0,+H17-M17,0)</f>
        <v>0</v>
      </c>
      <c r="O17" s="476">
        <f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2016</v>
      </c>
      <c r="D18" s="585">
        <v>1777912</v>
      </c>
      <c r="E18" s="586">
        <v>34190.615384615383</v>
      </c>
      <c r="F18" s="585">
        <v>1743721.3846153845</v>
      </c>
      <c r="G18" s="586">
        <v>262896.61538461538</v>
      </c>
      <c r="H18" s="588">
        <v>262896.61538461538</v>
      </c>
      <c r="I18" s="476">
        <f>H18-G18</f>
        <v>0</v>
      </c>
      <c r="J18" s="476"/>
      <c r="K18" s="477">
        <f t="shared" si="0"/>
        <v>262896.61538461538</v>
      </c>
      <c r="L18" s="604">
        <f t="shared" si="1"/>
        <v>0</v>
      </c>
      <c r="M18" s="477">
        <f t="shared" si="2"/>
        <v>262896.61538461538</v>
      </c>
      <c r="N18" s="479">
        <f>IF(M18&lt;&gt;0,+H18-M18,0)</f>
        <v>0</v>
      </c>
      <c r="O18" s="476">
        <f>+N18-L18</f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2017</v>
      </c>
      <c r="D19" s="585">
        <v>1657832.3846153845</v>
      </c>
      <c r="E19" s="586">
        <v>36783.108695652176</v>
      </c>
      <c r="F19" s="585">
        <v>1621049.2759197324</v>
      </c>
      <c r="G19" s="586">
        <v>243079.10869565216</v>
      </c>
      <c r="H19" s="588">
        <v>243079.10869565216</v>
      </c>
      <c r="I19" s="476">
        <f t="shared" ref="I19:I72" si="3">H19-G19</f>
        <v>0</v>
      </c>
      <c r="J19" s="476"/>
      <c r="K19" s="477">
        <f t="shared" si="0"/>
        <v>243079.10869565216</v>
      </c>
      <c r="L19" s="604">
        <f t="shared" si="1"/>
        <v>0</v>
      </c>
      <c r="M19" s="477">
        <f t="shared" si="2"/>
        <v>243079.10869565216</v>
      </c>
      <c r="N19" s="479">
        <f>IF(M19&lt;&gt;0,+H19-M19,0)</f>
        <v>0</v>
      </c>
      <c r="O19" s="476">
        <f>+N19-L19</f>
        <v>0</v>
      </c>
      <c r="P19" s="243"/>
    </row>
    <row r="20" spans="2:16" ht="12.5">
      <c r="B20" s="160" t="str">
        <f t="shared" ref="B20:B72" si="4">IF(D20=F19,"","IU")</f>
        <v/>
      </c>
      <c r="C20" s="473">
        <f>IF(D11="","-",+C19+1)</f>
        <v>2018</v>
      </c>
      <c r="D20" s="585">
        <v>1621049.2759197324</v>
      </c>
      <c r="E20" s="586">
        <v>37600.511111111111</v>
      </c>
      <c r="F20" s="585">
        <v>1583448.7648086213</v>
      </c>
      <c r="G20" s="586">
        <v>251897.51111111112</v>
      </c>
      <c r="H20" s="588">
        <v>251897.51111111112</v>
      </c>
      <c r="I20" s="476">
        <f t="shared" si="3"/>
        <v>0</v>
      </c>
      <c r="J20" s="476"/>
      <c r="K20" s="477">
        <f t="shared" si="0"/>
        <v>251897.51111111112</v>
      </c>
      <c r="L20" s="604">
        <f t="shared" si="1"/>
        <v>0</v>
      </c>
      <c r="M20" s="477">
        <f t="shared" si="2"/>
        <v>251897.51111111112</v>
      </c>
      <c r="N20" s="479">
        <f>IF(M20&lt;&gt;0,+H20-M20,0)</f>
        <v>0</v>
      </c>
      <c r="O20" s="476">
        <f>+N20-L20</f>
        <v>0</v>
      </c>
      <c r="P20" s="243"/>
    </row>
    <row r="21" spans="2:16" ht="12.5">
      <c r="B21" s="160" t="str">
        <f t="shared" si="4"/>
        <v/>
      </c>
      <c r="C21" s="473">
        <f>IF(D11="","-",+C20+1)</f>
        <v>2019</v>
      </c>
      <c r="D21" s="585">
        <v>1583448.7648086213</v>
      </c>
      <c r="E21" s="586">
        <v>37600.511111111111</v>
      </c>
      <c r="F21" s="585">
        <v>1545848.2536975101</v>
      </c>
      <c r="G21" s="586">
        <v>246808.51111111112</v>
      </c>
      <c r="H21" s="588">
        <v>246808.51111111112</v>
      </c>
      <c r="I21" s="476">
        <f t="shared" si="3"/>
        <v>0</v>
      </c>
      <c r="J21" s="476"/>
      <c r="K21" s="477">
        <f t="shared" si="0"/>
        <v>246808.51111111112</v>
      </c>
      <c r="L21" s="604">
        <f t="shared" si="1"/>
        <v>0</v>
      </c>
      <c r="M21" s="477">
        <f t="shared" si="2"/>
        <v>246808.51111111112</v>
      </c>
      <c r="N21" s="479">
        <f t="shared" ref="N21:N72" si="5">IF(M21&lt;&gt;0,+H21-M21,0)</f>
        <v>0</v>
      </c>
      <c r="O21" s="479">
        <f t="shared" ref="O21:O72" si="6">+N21-L21</f>
        <v>0</v>
      </c>
      <c r="P21" s="243"/>
    </row>
    <row r="22" spans="2:16" ht="12.5">
      <c r="B22" s="160" t="str">
        <f t="shared" si="4"/>
        <v/>
      </c>
      <c r="C22" s="473">
        <f>IF(D11="","-",+C21+1)</f>
        <v>2020</v>
      </c>
      <c r="D22" s="585">
        <v>1545848.2536975101</v>
      </c>
      <c r="E22" s="586">
        <v>40286.261904761908</v>
      </c>
      <c r="F22" s="585">
        <v>1505561.9917927482</v>
      </c>
      <c r="G22" s="586">
        <v>205069.7033172223</v>
      </c>
      <c r="H22" s="588">
        <v>205069.7033172223</v>
      </c>
      <c r="I22" s="476">
        <f t="shared" si="3"/>
        <v>0</v>
      </c>
      <c r="J22" s="476"/>
      <c r="K22" s="477">
        <f t="shared" si="0"/>
        <v>205069.7033172223</v>
      </c>
      <c r="L22" s="604">
        <f t="shared" si="1"/>
        <v>0</v>
      </c>
      <c r="M22" s="477">
        <f t="shared" si="2"/>
        <v>205069.7033172223</v>
      </c>
      <c r="N22" s="479">
        <f t="shared" si="5"/>
        <v>0</v>
      </c>
      <c r="O22" s="479">
        <f t="shared" si="6"/>
        <v>0</v>
      </c>
      <c r="P22" s="243"/>
    </row>
    <row r="23" spans="2:16" ht="12.5">
      <c r="B23" s="160" t="str">
        <f t="shared" si="4"/>
        <v/>
      </c>
      <c r="C23" s="473">
        <f>IF(D11="","-",+C22+1)</f>
        <v>2021</v>
      </c>
      <c r="D23" s="486">
        <f>IF(F22+SUM(E$17:E22)=D$10,F22,D$10-SUM(E$17:E22))</f>
        <v>1505561.9917927482</v>
      </c>
      <c r="E23" s="485">
        <f t="shared" ref="E23:E72" si="7">IF(+$I$14&lt;F22,$I$14,D23)</f>
        <v>39349.372093023259</v>
      </c>
      <c r="F23" s="486">
        <f t="shared" ref="F23:F72" si="8">+D23-E23</f>
        <v>1466212.6196997249</v>
      </c>
      <c r="G23" s="487">
        <f t="shared" ref="G23:G72" si="9">(D23+F23)/2*I$12+E23</f>
        <v>210310.12009681351</v>
      </c>
      <c r="H23" s="456">
        <f t="shared" ref="H23:H72" si="10">+(D23+F23)/2*I$13+E23</f>
        <v>210310.12009681351</v>
      </c>
      <c r="I23" s="476">
        <f t="shared" si="3"/>
        <v>0</v>
      </c>
      <c r="J23" s="476"/>
      <c r="K23" s="488"/>
      <c r="L23" s="479">
        <f t="shared" ref="L23:L72" si="11">IF(K23&lt;&gt;0,+G23-K23,0)</f>
        <v>0</v>
      </c>
      <c r="M23" s="488"/>
      <c r="N23" s="479">
        <f t="shared" si="5"/>
        <v>0</v>
      </c>
      <c r="O23" s="479">
        <f t="shared" si="6"/>
        <v>0</v>
      </c>
      <c r="P23" s="243"/>
    </row>
    <row r="24" spans="2:16" ht="12.5">
      <c r="B24" s="160" t="str">
        <f t="shared" si="4"/>
        <v/>
      </c>
      <c r="C24" s="473">
        <f>IF(D11="","-",+C23+1)</f>
        <v>2022</v>
      </c>
      <c r="D24" s="486">
        <f>IF(F23+SUM(E$17:E23)=D$10,F23,D$10-SUM(E$17:E23))</f>
        <v>1466212.6196997249</v>
      </c>
      <c r="E24" s="485">
        <f t="shared" si="7"/>
        <v>39349.372093023259</v>
      </c>
      <c r="F24" s="486">
        <f t="shared" si="8"/>
        <v>1426863.2476067017</v>
      </c>
      <c r="G24" s="487">
        <f t="shared" si="9"/>
        <v>205782.72554913332</v>
      </c>
      <c r="H24" s="456">
        <f t="shared" si="10"/>
        <v>205782.72554913332</v>
      </c>
      <c r="I24" s="476">
        <f t="shared" si="3"/>
        <v>0</v>
      </c>
      <c r="J24" s="476"/>
      <c r="K24" s="488"/>
      <c r="L24" s="479">
        <f t="shared" si="11"/>
        <v>0</v>
      </c>
      <c r="M24" s="488"/>
      <c r="N24" s="479">
        <f t="shared" si="5"/>
        <v>0</v>
      </c>
      <c r="O24" s="479">
        <f t="shared" si="6"/>
        <v>0</v>
      </c>
      <c r="P24" s="243"/>
    </row>
    <row r="25" spans="2:16" ht="12.5">
      <c r="B25" s="160" t="str">
        <f t="shared" si="4"/>
        <v/>
      </c>
      <c r="C25" s="473">
        <f>IF(D11="","-",+C24+1)</f>
        <v>2023</v>
      </c>
      <c r="D25" s="486">
        <f>IF(F24+SUM(E$17:E24)=D$10,F24,D$10-SUM(E$17:E24))</f>
        <v>1426863.2476067017</v>
      </c>
      <c r="E25" s="485">
        <f t="shared" si="7"/>
        <v>39349.372093023259</v>
      </c>
      <c r="F25" s="486">
        <f t="shared" si="8"/>
        <v>1387513.8755136784</v>
      </c>
      <c r="G25" s="487">
        <f t="shared" si="9"/>
        <v>201255.33100145313</v>
      </c>
      <c r="H25" s="456">
        <f t="shared" si="10"/>
        <v>201255.33100145313</v>
      </c>
      <c r="I25" s="476">
        <f t="shared" si="3"/>
        <v>0</v>
      </c>
      <c r="J25" s="476"/>
      <c r="K25" s="488"/>
      <c r="L25" s="479">
        <f t="shared" si="11"/>
        <v>0</v>
      </c>
      <c r="M25" s="488"/>
      <c r="N25" s="479">
        <f t="shared" si="5"/>
        <v>0</v>
      </c>
      <c r="O25" s="479">
        <f t="shared" si="6"/>
        <v>0</v>
      </c>
      <c r="P25" s="243"/>
    </row>
    <row r="26" spans="2:16" ht="12.5">
      <c r="B26" s="160" t="str">
        <f t="shared" si="4"/>
        <v/>
      </c>
      <c r="C26" s="473">
        <f>IF(D11="","-",+C25+1)</f>
        <v>2024</v>
      </c>
      <c r="D26" s="486">
        <f>IF(F25+SUM(E$17:E25)=D$10,F25,D$10-SUM(E$17:E25))</f>
        <v>1387513.8755136784</v>
      </c>
      <c r="E26" s="485">
        <f t="shared" si="7"/>
        <v>39349.372093023259</v>
      </c>
      <c r="F26" s="486">
        <f t="shared" si="8"/>
        <v>1348164.5034206551</v>
      </c>
      <c r="G26" s="487">
        <f t="shared" si="9"/>
        <v>196727.93645377294</v>
      </c>
      <c r="H26" s="456">
        <f t="shared" si="10"/>
        <v>196727.93645377294</v>
      </c>
      <c r="I26" s="476">
        <f t="shared" si="3"/>
        <v>0</v>
      </c>
      <c r="J26" s="476"/>
      <c r="K26" s="488"/>
      <c r="L26" s="479">
        <f t="shared" si="11"/>
        <v>0</v>
      </c>
      <c r="M26" s="488"/>
      <c r="N26" s="479">
        <f t="shared" si="5"/>
        <v>0</v>
      </c>
      <c r="O26" s="479">
        <f t="shared" si="6"/>
        <v>0</v>
      </c>
      <c r="P26" s="243"/>
    </row>
    <row r="27" spans="2:16" ht="12.5">
      <c r="B27" s="160" t="str">
        <f t="shared" si="4"/>
        <v/>
      </c>
      <c r="C27" s="473">
        <f>IF(D11="","-",+C26+1)</f>
        <v>2025</v>
      </c>
      <c r="D27" s="486">
        <f>IF(F26+SUM(E$17:E26)=D$10,F26,D$10-SUM(E$17:E26))</f>
        <v>1348164.5034206551</v>
      </c>
      <c r="E27" s="485">
        <f t="shared" si="7"/>
        <v>39349.372093023259</v>
      </c>
      <c r="F27" s="486">
        <f t="shared" si="8"/>
        <v>1308815.1313276319</v>
      </c>
      <c r="G27" s="487">
        <f t="shared" si="9"/>
        <v>192200.54190609275</v>
      </c>
      <c r="H27" s="456">
        <f t="shared" si="10"/>
        <v>192200.54190609275</v>
      </c>
      <c r="I27" s="476">
        <f t="shared" si="3"/>
        <v>0</v>
      </c>
      <c r="J27" s="476"/>
      <c r="K27" s="488"/>
      <c r="L27" s="479">
        <f t="shared" si="11"/>
        <v>0</v>
      </c>
      <c r="M27" s="488"/>
      <c r="N27" s="479">
        <f t="shared" si="5"/>
        <v>0</v>
      </c>
      <c r="O27" s="479">
        <f t="shared" si="6"/>
        <v>0</v>
      </c>
      <c r="P27" s="243"/>
    </row>
    <row r="28" spans="2:16" ht="12.5">
      <c r="B28" s="160" t="str">
        <f t="shared" si="4"/>
        <v/>
      </c>
      <c r="C28" s="473">
        <f>IF(D11="","-",+C27+1)</f>
        <v>2026</v>
      </c>
      <c r="D28" s="486">
        <f>IF(F27+SUM(E$17:E27)=D$10,F27,D$10-SUM(E$17:E27))</f>
        <v>1308815.1313276319</v>
      </c>
      <c r="E28" s="485">
        <f t="shared" si="7"/>
        <v>39349.372093023259</v>
      </c>
      <c r="F28" s="486">
        <f t="shared" si="8"/>
        <v>1269465.7592346086</v>
      </c>
      <c r="G28" s="487">
        <f t="shared" si="9"/>
        <v>187673.14735841253</v>
      </c>
      <c r="H28" s="456">
        <f t="shared" si="10"/>
        <v>187673.14735841253</v>
      </c>
      <c r="I28" s="476">
        <f t="shared" si="3"/>
        <v>0</v>
      </c>
      <c r="J28" s="476"/>
      <c r="K28" s="488"/>
      <c r="L28" s="479">
        <f t="shared" si="11"/>
        <v>0</v>
      </c>
      <c r="M28" s="488"/>
      <c r="N28" s="479">
        <f t="shared" si="5"/>
        <v>0</v>
      </c>
      <c r="O28" s="479">
        <f t="shared" si="6"/>
        <v>0</v>
      </c>
      <c r="P28" s="243"/>
    </row>
    <row r="29" spans="2:16" ht="12.5">
      <c r="B29" s="160" t="str">
        <f t="shared" si="4"/>
        <v/>
      </c>
      <c r="C29" s="473">
        <f>IF(D11="","-",+C28+1)</f>
        <v>2027</v>
      </c>
      <c r="D29" s="486">
        <f>IF(F28+SUM(E$17:E28)=D$10,F28,D$10-SUM(E$17:E28))</f>
        <v>1269465.7592346086</v>
      </c>
      <c r="E29" s="485">
        <f t="shared" si="7"/>
        <v>39349.372093023259</v>
      </c>
      <c r="F29" s="486">
        <f t="shared" si="8"/>
        <v>1230116.3871415854</v>
      </c>
      <c r="G29" s="487">
        <f t="shared" si="9"/>
        <v>183145.75281073235</v>
      </c>
      <c r="H29" s="456">
        <f t="shared" si="10"/>
        <v>183145.75281073235</v>
      </c>
      <c r="I29" s="476">
        <f t="shared" si="3"/>
        <v>0</v>
      </c>
      <c r="J29" s="476"/>
      <c r="K29" s="488"/>
      <c r="L29" s="479">
        <f t="shared" si="11"/>
        <v>0</v>
      </c>
      <c r="M29" s="488"/>
      <c r="N29" s="479">
        <f t="shared" si="5"/>
        <v>0</v>
      </c>
      <c r="O29" s="479">
        <f t="shared" si="6"/>
        <v>0</v>
      </c>
      <c r="P29" s="243"/>
    </row>
    <row r="30" spans="2:16" ht="12.5">
      <c r="B30" s="160" t="str">
        <f t="shared" si="4"/>
        <v/>
      </c>
      <c r="C30" s="473">
        <f>IF(D11="","-",+C29+1)</f>
        <v>2028</v>
      </c>
      <c r="D30" s="486">
        <f>IF(F29+SUM(E$17:E29)=D$10,F29,D$10-SUM(E$17:E29))</f>
        <v>1230116.3871415854</v>
      </c>
      <c r="E30" s="485">
        <f t="shared" si="7"/>
        <v>39349.372093023259</v>
      </c>
      <c r="F30" s="486">
        <f t="shared" si="8"/>
        <v>1190767.0150485621</v>
      </c>
      <c r="G30" s="487">
        <f t="shared" si="9"/>
        <v>178618.35826305216</v>
      </c>
      <c r="H30" s="456">
        <f t="shared" si="10"/>
        <v>178618.35826305216</v>
      </c>
      <c r="I30" s="476">
        <f t="shared" si="3"/>
        <v>0</v>
      </c>
      <c r="J30" s="476"/>
      <c r="K30" s="488"/>
      <c r="L30" s="479">
        <f t="shared" si="11"/>
        <v>0</v>
      </c>
      <c r="M30" s="488"/>
      <c r="N30" s="479">
        <f t="shared" si="5"/>
        <v>0</v>
      </c>
      <c r="O30" s="479">
        <f t="shared" si="6"/>
        <v>0</v>
      </c>
      <c r="P30" s="243"/>
    </row>
    <row r="31" spans="2:16" ht="12.5">
      <c r="B31" s="160" t="str">
        <f t="shared" si="4"/>
        <v/>
      </c>
      <c r="C31" s="473">
        <f>IF(D11="","-",+C30+1)</f>
        <v>2029</v>
      </c>
      <c r="D31" s="486">
        <f>IF(F30+SUM(E$17:E30)=D$10,F30,D$10-SUM(E$17:E30))</f>
        <v>1190767.0150485621</v>
      </c>
      <c r="E31" s="485">
        <f t="shared" si="7"/>
        <v>39349.372093023259</v>
      </c>
      <c r="F31" s="486">
        <f t="shared" si="8"/>
        <v>1151417.6429555388</v>
      </c>
      <c r="G31" s="487">
        <f t="shared" si="9"/>
        <v>174090.96371537197</v>
      </c>
      <c r="H31" s="456">
        <f t="shared" si="10"/>
        <v>174090.96371537197</v>
      </c>
      <c r="I31" s="476">
        <f t="shared" si="3"/>
        <v>0</v>
      </c>
      <c r="J31" s="476"/>
      <c r="K31" s="488"/>
      <c r="L31" s="479">
        <f t="shared" si="11"/>
        <v>0</v>
      </c>
      <c r="M31" s="488"/>
      <c r="N31" s="479">
        <f t="shared" si="5"/>
        <v>0</v>
      </c>
      <c r="O31" s="479">
        <f t="shared" si="6"/>
        <v>0</v>
      </c>
      <c r="P31" s="243"/>
    </row>
    <row r="32" spans="2:16" ht="12.5">
      <c r="B32" s="160" t="str">
        <f t="shared" si="4"/>
        <v/>
      </c>
      <c r="C32" s="473">
        <f>IF(D11="","-",+C31+1)</f>
        <v>2030</v>
      </c>
      <c r="D32" s="486">
        <f>IF(F31+SUM(E$17:E31)=D$10,F31,D$10-SUM(E$17:E31))</f>
        <v>1151417.6429555388</v>
      </c>
      <c r="E32" s="485">
        <f t="shared" si="7"/>
        <v>39349.372093023259</v>
      </c>
      <c r="F32" s="486">
        <f t="shared" si="8"/>
        <v>1112068.2708625156</v>
      </c>
      <c r="G32" s="487">
        <f t="shared" si="9"/>
        <v>169563.56916769175</v>
      </c>
      <c r="H32" s="456">
        <f t="shared" si="10"/>
        <v>169563.56916769175</v>
      </c>
      <c r="I32" s="476">
        <f t="shared" si="3"/>
        <v>0</v>
      </c>
      <c r="J32" s="476"/>
      <c r="K32" s="488"/>
      <c r="L32" s="479">
        <f t="shared" si="11"/>
        <v>0</v>
      </c>
      <c r="M32" s="488"/>
      <c r="N32" s="479">
        <f t="shared" si="5"/>
        <v>0</v>
      </c>
      <c r="O32" s="479">
        <f t="shared" si="6"/>
        <v>0</v>
      </c>
      <c r="P32" s="243"/>
    </row>
    <row r="33" spans="2:16" ht="12.5">
      <c r="B33" s="160" t="str">
        <f t="shared" si="4"/>
        <v/>
      </c>
      <c r="C33" s="473">
        <f>IF(D11="","-",+C32+1)</f>
        <v>2031</v>
      </c>
      <c r="D33" s="486">
        <f>IF(F32+SUM(E$17:E32)=D$10,F32,D$10-SUM(E$17:E32))</f>
        <v>1112068.2708625156</v>
      </c>
      <c r="E33" s="485">
        <f t="shared" si="7"/>
        <v>39349.372093023259</v>
      </c>
      <c r="F33" s="486">
        <f t="shared" si="8"/>
        <v>1072718.8987694923</v>
      </c>
      <c r="G33" s="487">
        <f t="shared" si="9"/>
        <v>165036.17462001156</v>
      </c>
      <c r="H33" s="456">
        <f t="shared" si="10"/>
        <v>165036.17462001156</v>
      </c>
      <c r="I33" s="476">
        <f t="shared" si="3"/>
        <v>0</v>
      </c>
      <c r="J33" s="476"/>
      <c r="K33" s="488"/>
      <c r="L33" s="479">
        <f t="shared" si="11"/>
        <v>0</v>
      </c>
      <c r="M33" s="488"/>
      <c r="N33" s="479">
        <f t="shared" si="5"/>
        <v>0</v>
      </c>
      <c r="O33" s="479">
        <f t="shared" si="6"/>
        <v>0</v>
      </c>
      <c r="P33" s="243"/>
    </row>
    <row r="34" spans="2:16" ht="12.5">
      <c r="B34" s="160" t="str">
        <f t="shared" si="4"/>
        <v/>
      </c>
      <c r="C34" s="473">
        <f>IF(D11="","-",+C33+1)</f>
        <v>2032</v>
      </c>
      <c r="D34" s="486">
        <f>IF(F33+SUM(E$17:E33)=D$10,F33,D$10-SUM(E$17:E33))</f>
        <v>1072718.8987694923</v>
      </c>
      <c r="E34" s="485">
        <f t="shared" si="7"/>
        <v>39349.372093023259</v>
      </c>
      <c r="F34" s="486">
        <f t="shared" si="8"/>
        <v>1033369.526676469</v>
      </c>
      <c r="G34" s="487">
        <f t="shared" si="9"/>
        <v>160508.78007233137</v>
      </c>
      <c r="H34" s="456">
        <f t="shared" si="10"/>
        <v>160508.78007233137</v>
      </c>
      <c r="I34" s="476">
        <f t="shared" si="3"/>
        <v>0</v>
      </c>
      <c r="J34" s="476"/>
      <c r="K34" s="488"/>
      <c r="L34" s="479">
        <f t="shared" si="11"/>
        <v>0</v>
      </c>
      <c r="M34" s="488"/>
      <c r="N34" s="479">
        <f t="shared" si="5"/>
        <v>0</v>
      </c>
      <c r="O34" s="479">
        <f t="shared" si="6"/>
        <v>0</v>
      </c>
      <c r="P34" s="243"/>
    </row>
    <row r="35" spans="2:16" ht="12.5">
      <c r="B35" s="160" t="str">
        <f t="shared" si="4"/>
        <v/>
      </c>
      <c r="C35" s="473">
        <f>IF(D11="","-",+C34+1)</f>
        <v>2033</v>
      </c>
      <c r="D35" s="486">
        <f>IF(F34+SUM(E$17:E34)=D$10,F34,D$10-SUM(E$17:E34))</f>
        <v>1033369.526676469</v>
      </c>
      <c r="E35" s="485">
        <f t="shared" si="7"/>
        <v>39349.372093023259</v>
      </c>
      <c r="F35" s="486">
        <f t="shared" si="8"/>
        <v>994020.15458344575</v>
      </c>
      <c r="G35" s="487">
        <f t="shared" si="9"/>
        <v>155981.38552465115</v>
      </c>
      <c r="H35" s="456">
        <f t="shared" si="10"/>
        <v>155981.38552465115</v>
      </c>
      <c r="I35" s="476">
        <f t="shared" si="3"/>
        <v>0</v>
      </c>
      <c r="J35" s="476"/>
      <c r="K35" s="488"/>
      <c r="L35" s="479">
        <f t="shared" si="11"/>
        <v>0</v>
      </c>
      <c r="M35" s="488"/>
      <c r="N35" s="479">
        <f t="shared" si="5"/>
        <v>0</v>
      </c>
      <c r="O35" s="479">
        <f t="shared" si="6"/>
        <v>0</v>
      </c>
      <c r="P35" s="243"/>
    </row>
    <row r="36" spans="2:16" ht="12.5">
      <c r="B36" s="160" t="str">
        <f t="shared" si="4"/>
        <v/>
      </c>
      <c r="C36" s="473">
        <f>IF(D11="","-",+C35+1)</f>
        <v>2034</v>
      </c>
      <c r="D36" s="486">
        <f>IF(F35+SUM(E$17:E35)=D$10,F35,D$10-SUM(E$17:E35))</f>
        <v>994020.15458344575</v>
      </c>
      <c r="E36" s="485">
        <f t="shared" si="7"/>
        <v>39349.372093023259</v>
      </c>
      <c r="F36" s="486">
        <f t="shared" si="8"/>
        <v>954670.78249042248</v>
      </c>
      <c r="G36" s="487">
        <f t="shared" si="9"/>
        <v>151453.99097697096</v>
      </c>
      <c r="H36" s="456">
        <f t="shared" si="10"/>
        <v>151453.99097697096</v>
      </c>
      <c r="I36" s="476">
        <f t="shared" si="3"/>
        <v>0</v>
      </c>
      <c r="J36" s="476"/>
      <c r="K36" s="488"/>
      <c r="L36" s="479">
        <f t="shared" si="11"/>
        <v>0</v>
      </c>
      <c r="M36" s="488"/>
      <c r="N36" s="479">
        <f t="shared" si="5"/>
        <v>0</v>
      </c>
      <c r="O36" s="479">
        <f t="shared" si="6"/>
        <v>0</v>
      </c>
      <c r="P36" s="243"/>
    </row>
    <row r="37" spans="2:16" ht="12.5">
      <c r="B37" s="160" t="str">
        <f t="shared" si="4"/>
        <v/>
      </c>
      <c r="C37" s="473">
        <f>IF(D11="","-",+C36+1)</f>
        <v>2035</v>
      </c>
      <c r="D37" s="486">
        <f>IF(F36+SUM(E$17:E36)=D$10,F36,D$10-SUM(E$17:E36))</f>
        <v>954670.78249042248</v>
      </c>
      <c r="E37" s="485">
        <f t="shared" si="7"/>
        <v>39349.372093023259</v>
      </c>
      <c r="F37" s="486">
        <f t="shared" si="8"/>
        <v>915321.41039739922</v>
      </c>
      <c r="G37" s="487">
        <f t="shared" si="9"/>
        <v>146926.59642929077</v>
      </c>
      <c r="H37" s="456">
        <f t="shared" si="10"/>
        <v>146926.59642929077</v>
      </c>
      <c r="I37" s="476">
        <f t="shared" si="3"/>
        <v>0</v>
      </c>
      <c r="J37" s="476"/>
      <c r="K37" s="488"/>
      <c r="L37" s="479">
        <f t="shared" si="11"/>
        <v>0</v>
      </c>
      <c r="M37" s="488"/>
      <c r="N37" s="479">
        <f t="shared" si="5"/>
        <v>0</v>
      </c>
      <c r="O37" s="479">
        <f t="shared" si="6"/>
        <v>0</v>
      </c>
      <c r="P37" s="243"/>
    </row>
    <row r="38" spans="2:16" ht="12.5">
      <c r="B38" s="160" t="str">
        <f t="shared" si="4"/>
        <v/>
      </c>
      <c r="C38" s="473">
        <f>IF(D11="","-",+C37+1)</f>
        <v>2036</v>
      </c>
      <c r="D38" s="486">
        <f>IF(F37+SUM(E$17:E37)=D$10,F37,D$10-SUM(E$17:E37))</f>
        <v>915321.41039739922</v>
      </c>
      <c r="E38" s="485">
        <f t="shared" si="7"/>
        <v>39349.372093023259</v>
      </c>
      <c r="F38" s="486">
        <f t="shared" si="8"/>
        <v>875972.03830437595</v>
      </c>
      <c r="G38" s="487">
        <f t="shared" si="9"/>
        <v>142399.20188161058</v>
      </c>
      <c r="H38" s="456">
        <f t="shared" si="10"/>
        <v>142399.20188161058</v>
      </c>
      <c r="I38" s="476">
        <f t="shared" si="3"/>
        <v>0</v>
      </c>
      <c r="J38" s="476"/>
      <c r="K38" s="488"/>
      <c r="L38" s="479">
        <f t="shared" si="11"/>
        <v>0</v>
      </c>
      <c r="M38" s="488"/>
      <c r="N38" s="479">
        <f t="shared" si="5"/>
        <v>0</v>
      </c>
      <c r="O38" s="479">
        <f t="shared" si="6"/>
        <v>0</v>
      </c>
      <c r="P38" s="243"/>
    </row>
    <row r="39" spans="2:16" ht="12.5">
      <c r="B39" s="160" t="str">
        <f t="shared" si="4"/>
        <v/>
      </c>
      <c r="C39" s="473">
        <f>IF(D11="","-",+C38+1)</f>
        <v>2037</v>
      </c>
      <c r="D39" s="486">
        <f>IF(F38+SUM(E$17:E38)=D$10,F38,D$10-SUM(E$17:E38))</f>
        <v>875972.03830437595</v>
      </c>
      <c r="E39" s="485">
        <f t="shared" si="7"/>
        <v>39349.372093023259</v>
      </c>
      <c r="F39" s="486">
        <f t="shared" si="8"/>
        <v>836622.66621135268</v>
      </c>
      <c r="G39" s="487">
        <f t="shared" si="9"/>
        <v>137871.8073339304</v>
      </c>
      <c r="H39" s="456">
        <f t="shared" si="10"/>
        <v>137871.8073339304</v>
      </c>
      <c r="I39" s="476">
        <f t="shared" si="3"/>
        <v>0</v>
      </c>
      <c r="J39" s="476"/>
      <c r="K39" s="488"/>
      <c r="L39" s="479">
        <f t="shared" si="11"/>
        <v>0</v>
      </c>
      <c r="M39" s="488"/>
      <c r="N39" s="479">
        <f t="shared" si="5"/>
        <v>0</v>
      </c>
      <c r="O39" s="479">
        <f t="shared" si="6"/>
        <v>0</v>
      </c>
      <c r="P39" s="243"/>
    </row>
    <row r="40" spans="2:16" ht="12.5">
      <c r="B40" s="160" t="str">
        <f t="shared" si="4"/>
        <v/>
      </c>
      <c r="C40" s="473">
        <f>IF(D11="","-",+C39+1)</f>
        <v>2038</v>
      </c>
      <c r="D40" s="486">
        <f>IF(F39+SUM(E$17:E39)=D$10,F39,D$10-SUM(E$17:E39))</f>
        <v>836622.66621135268</v>
      </c>
      <c r="E40" s="485">
        <f t="shared" si="7"/>
        <v>39349.372093023259</v>
      </c>
      <c r="F40" s="486">
        <f t="shared" si="8"/>
        <v>797273.29411832942</v>
      </c>
      <c r="G40" s="487">
        <f t="shared" si="9"/>
        <v>133344.41278625018</v>
      </c>
      <c r="H40" s="456">
        <f t="shared" si="10"/>
        <v>133344.41278625018</v>
      </c>
      <c r="I40" s="476">
        <f t="shared" si="3"/>
        <v>0</v>
      </c>
      <c r="J40" s="476"/>
      <c r="K40" s="488"/>
      <c r="L40" s="479">
        <f t="shared" si="11"/>
        <v>0</v>
      </c>
      <c r="M40" s="488"/>
      <c r="N40" s="479">
        <f t="shared" si="5"/>
        <v>0</v>
      </c>
      <c r="O40" s="479">
        <f t="shared" si="6"/>
        <v>0</v>
      </c>
      <c r="P40" s="243"/>
    </row>
    <row r="41" spans="2:16" ht="12.5">
      <c r="B41" s="160" t="str">
        <f t="shared" si="4"/>
        <v/>
      </c>
      <c r="C41" s="473">
        <f>IF(D11="","-",+C40+1)</f>
        <v>2039</v>
      </c>
      <c r="D41" s="486">
        <f>IF(F40+SUM(E$17:E40)=D$10,F40,D$10-SUM(E$17:E40))</f>
        <v>797273.29411832942</v>
      </c>
      <c r="E41" s="485">
        <f t="shared" si="7"/>
        <v>39349.372093023259</v>
      </c>
      <c r="F41" s="486">
        <f t="shared" si="8"/>
        <v>757923.92202530615</v>
      </c>
      <c r="G41" s="487">
        <f t="shared" si="9"/>
        <v>128817.01823856999</v>
      </c>
      <c r="H41" s="456">
        <f t="shared" si="10"/>
        <v>128817.01823856999</v>
      </c>
      <c r="I41" s="476">
        <f t="shared" si="3"/>
        <v>0</v>
      </c>
      <c r="J41" s="476"/>
      <c r="K41" s="488"/>
      <c r="L41" s="479">
        <f t="shared" si="11"/>
        <v>0</v>
      </c>
      <c r="M41" s="488"/>
      <c r="N41" s="479">
        <f t="shared" si="5"/>
        <v>0</v>
      </c>
      <c r="O41" s="479">
        <f t="shared" si="6"/>
        <v>0</v>
      </c>
      <c r="P41" s="243"/>
    </row>
    <row r="42" spans="2:16" ht="12.5">
      <c r="B42" s="160" t="str">
        <f t="shared" si="4"/>
        <v/>
      </c>
      <c r="C42" s="473">
        <f>IF(D11="","-",+C41+1)</f>
        <v>2040</v>
      </c>
      <c r="D42" s="486">
        <f>IF(F41+SUM(E$17:E41)=D$10,F41,D$10-SUM(E$17:E41))</f>
        <v>757923.92202530615</v>
      </c>
      <c r="E42" s="485">
        <f t="shared" si="7"/>
        <v>39349.372093023259</v>
      </c>
      <c r="F42" s="486">
        <f t="shared" si="8"/>
        <v>718574.54993228288</v>
      </c>
      <c r="G42" s="487">
        <f t="shared" si="9"/>
        <v>124289.6236908898</v>
      </c>
      <c r="H42" s="456">
        <f t="shared" si="10"/>
        <v>124289.6236908898</v>
      </c>
      <c r="I42" s="476">
        <f t="shared" si="3"/>
        <v>0</v>
      </c>
      <c r="J42" s="476"/>
      <c r="K42" s="488"/>
      <c r="L42" s="479">
        <f t="shared" si="11"/>
        <v>0</v>
      </c>
      <c r="M42" s="488"/>
      <c r="N42" s="479">
        <f t="shared" si="5"/>
        <v>0</v>
      </c>
      <c r="O42" s="479">
        <f t="shared" si="6"/>
        <v>0</v>
      </c>
      <c r="P42" s="243"/>
    </row>
    <row r="43" spans="2:16" ht="12.5">
      <c r="B43" s="160" t="str">
        <f t="shared" si="4"/>
        <v/>
      </c>
      <c r="C43" s="473">
        <f>IF(D11="","-",+C42+1)</f>
        <v>2041</v>
      </c>
      <c r="D43" s="486">
        <f>IF(F42+SUM(E$17:E42)=D$10,F42,D$10-SUM(E$17:E42))</f>
        <v>718574.54993228288</v>
      </c>
      <c r="E43" s="485">
        <f t="shared" si="7"/>
        <v>39349.372093023259</v>
      </c>
      <c r="F43" s="486">
        <f t="shared" si="8"/>
        <v>679225.17783925962</v>
      </c>
      <c r="G43" s="487">
        <f t="shared" si="9"/>
        <v>119762.22914320961</v>
      </c>
      <c r="H43" s="456">
        <f t="shared" si="10"/>
        <v>119762.22914320961</v>
      </c>
      <c r="I43" s="476">
        <f t="shared" si="3"/>
        <v>0</v>
      </c>
      <c r="J43" s="476"/>
      <c r="K43" s="488"/>
      <c r="L43" s="479">
        <f t="shared" si="11"/>
        <v>0</v>
      </c>
      <c r="M43" s="488"/>
      <c r="N43" s="479">
        <f t="shared" si="5"/>
        <v>0</v>
      </c>
      <c r="O43" s="479">
        <f t="shared" si="6"/>
        <v>0</v>
      </c>
      <c r="P43" s="243"/>
    </row>
    <row r="44" spans="2:16" ht="12.5">
      <c r="B44" s="160" t="str">
        <f t="shared" si="4"/>
        <v/>
      </c>
      <c r="C44" s="473">
        <f>IF(D11="","-",+C43+1)</f>
        <v>2042</v>
      </c>
      <c r="D44" s="486">
        <f>IF(F43+SUM(E$17:E43)=D$10,F43,D$10-SUM(E$17:E43))</f>
        <v>679225.17783925962</v>
      </c>
      <c r="E44" s="485">
        <f t="shared" si="7"/>
        <v>39349.372093023259</v>
      </c>
      <c r="F44" s="486">
        <f t="shared" si="8"/>
        <v>639875.80574623635</v>
      </c>
      <c r="G44" s="487">
        <f t="shared" si="9"/>
        <v>115234.83459552939</v>
      </c>
      <c r="H44" s="456">
        <f t="shared" si="10"/>
        <v>115234.83459552939</v>
      </c>
      <c r="I44" s="476">
        <f t="shared" si="3"/>
        <v>0</v>
      </c>
      <c r="J44" s="476"/>
      <c r="K44" s="488"/>
      <c r="L44" s="479">
        <f t="shared" si="11"/>
        <v>0</v>
      </c>
      <c r="M44" s="488"/>
      <c r="N44" s="479">
        <f t="shared" si="5"/>
        <v>0</v>
      </c>
      <c r="O44" s="479">
        <f t="shared" si="6"/>
        <v>0</v>
      </c>
      <c r="P44" s="243"/>
    </row>
    <row r="45" spans="2:16" ht="12.5">
      <c r="B45" s="160" t="str">
        <f t="shared" si="4"/>
        <v/>
      </c>
      <c r="C45" s="473">
        <f>IF(D11="","-",+C44+1)</f>
        <v>2043</v>
      </c>
      <c r="D45" s="486">
        <f>IF(F44+SUM(E$17:E44)=D$10,F44,D$10-SUM(E$17:E44))</f>
        <v>639875.80574623635</v>
      </c>
      <c r="E45" s="485">
        <f t="shared" si="7"/>
        <v>39349.372093023259</v>
      </c>
      <c r="F45" s="486">
        <f t="shared" si="8"/>
        <v>600526.43365321308</v>
      </c>
      <c r="G45" s="487">
        <f t="shared" si="9"/>
        <v>110707.4400478492</v>
      </c>
      <c r="H45" s="456">
        <f t="shared" si="10"/>
        <v>110707.4400478492</v>
      </c>
      <c r="I45" s="476">
        <f t="shared" si="3"/>
        <v>0</v>
      </c>
      <c r="J45" s="476"/>
      <c r="K45" s="488"/>
      <c r="L45" s="479">
        <f t="shared" si="11"/>
        <v>0</v>
      </c>
      <c r="M45" s="488"/>
      <c r="N45" s="479">
        <f t="shared" si="5"/>
        <v>0</v>
      </c>
      <c r="O45" s="479">
        <f t="shared" si="6"/>
        <v>0</v>
      </c>
      <c r="P45" s="243"/>
    </row>
    <row r="46" spans="2:16" ht="12.5">
      <c r="B46" s="160" t="str">
        <f t="shared" si="4"/>
        <v/>
      </c>
      <c r="C46" s="473">
        <f>IF(D11="","-",+C45+1)</f>
        <v>2044</v>
      </c>
      <c r="D46" s="486">
        <f>IF(F45+SUM(E$17:E45)=D$10,F45,D$10-SUM(E$17:E45))</f>
        <v>600526.43365321308</v>
      </c>
      <c r="E46" s="485">
        <f t="shared" si="7"/>
        <v>39349.372093023259</v>
      </c>
      <c r="F46" s="486">
        <f t="shared" si="8"/>
        <v>561177.06156018982</v>
      </c>
      <c r="G46" s="487">
        <f t="shared" si="9"/>
        <v>106180.04550016901</v>
      </c>
      <c r="H46" s="456">
        <f t="shared" si="10"/>
        <v>106180.04550016901</v>
      </c>
      <c r="I46" s="476">
        <f t="shared" si="3"/>
        <v>0</v>
      </c>
      <c r="J46" s="476"/>
      <c r="K46" s="488"/>
      <c r="L46" s="479">
        <f t="shared" si="11"/>
        <v>0</v>
      </c>
      <c r="M46" s="488"/>
      <c r="N46" s="479">
        <f t="shared" si="5"/>
        <v>0</v>
      </c>
      <c r="O46" s="479">
        <f t="shared" si="6"/>
        <v>0</v>
      </c>
      <c r="P46" s="243"/>
    </row>
    <row r="47" spans="2:16" ht="12.5">
      <c r="B47" s="160" t="str">
        <f t="shared" si="4"/>
        <v/>
      </c>
      <c r="C47" s="473">
        <f>IF(D11="","-",+C46+1)</f>
        <v>2045</v>
      </c>
      <c r="D47" s="486">
        <f>IF(F46+SUM(E$17:E46)=D$10,F46,D$10-SUM(E$17:E46))</f>
        <v>561177.06156018982</v>
      </c>
      <c r="E47" s="485">
        <f t="shared" si="7"/>
        <v>39349.372093023259</v>
      </c>
      <c r="F47" s="486">
        <f t="shared" si="8"/>
        <v>521827.68946716655</v>
      </c>
      <c r="G47" s="487">
        <f t="shared" si="9"/>
        <v>101652.65095248882</v>
      </c>
      <c r="H47" s="456">
        <f t="shared" si="10"/>
        <v>101652.65095248882</v>
      </c>
      <c r="I47" s="476">
        <f t="shared" si="3"/>
        <v>0</v>
      </c>
      <c r="J47" s="476"/>
      <c r="K47" s="488"/>
      <c r="L47" s="479">
        <f t="shared" si="11"/>
        <v>0</v>
      </c>
      <c r="M47" s="488"/>
      <c r="N47" s="479">
        <f t="shared" si="5"/>
        <v>0</v>
      </c>
      <c r="O47" s="479">
        <f t="shared" si="6"/>
        <v>0</v>
      </c>
      <c r="P47" s="243"/>
    </row>
    <row r="48" spans="2:16" ht="12.5">
      <c r="B48" s="160" t="str">
        <f t="shared" si="4"/>
        <v/>
      </c>
      <c r="C48" s="473">
        <f>IF(D11="","-",+C47+1)</f>
        <v>2046</v>
      </c>
      <c r="D48" s="486">
        <f>IF(F47+SUM(E$17:E47)=D$10,F47,D$10-SUM(E$17:E47))</f>
        <v>521827.68946716655</v>
      </c>
      <c r="E48" s="485">
        <f t="shared" si="7"/>
        <v>39349.372093023259</v>
      </c>
      <c r="F48" s="486">
        <f t="shared" si="8"/>
        <v>482478.31737414328</v>
      </c>
      <c r="G48" s="487">
        <f t="shared" si="9"/>
        <v>97125.256404808621</v>
      </c>
      <c r="H48" s="456">
        <f t="shared" si="10"/>
        <v>97125.256404808621</v>
      </c>
      <c r="I48" s="476">
        <f t="shared" si="3"/>
        <v>0</v>
      </c>
      <c r="J48" s="476"/>
      <c r="K48" s="488"/>
      <c r="L48" s="479">
        <f t="shared" si="11"/>
        <v>0</v>
      </c>
      <c r="M48" s="488"/>
      <c r="N48" s="479">
        <f t="shared" si="5"/>
        <v>0</v>
      </c>
      <c r="O48" s="479">
        <f t="shared" si="6"/>
        <v>0</v>
      </c>
      <c r="P48" s="243"/>
    </row>
    <row r="49" spans="2:16" ht="12.5">
      <c r="B49" s="160" t="str">
        <f t="shared" si="4"/>
        <v/>
      </c>
      <c r="C49" s="473">
        <f>IF(D11="","-",+C48+1)</f>
        <v>2047</v>
      </c>
      <c r="D49" s="486">
        <f>IF(F48+SUM(E$17:E48)=D$10,F48,D$10-SUM(E$17:E48))</f>
        <v>482478.31737414328</v>
      </c>
      <c r="E49" s="485">
        <f t="shared" si="7"/>
        <v>39349.372093023259</v>
      </c>
      <c r="F49" s="486">
        <f t="shared" si="8"/>
        <v>443128.94528112002</v>
      </c>
      <c r="G49" s="487">
        <f t="shared" si="9"/>
        <v>92597.861857128417</v>
      </c>
      <c r="H49" s="456">
        <f t="shared" si="10"/>
        <v>92597.861857128417</v>
      </c>
      <c r="I49" s="476">
        <f t="shared" si="3"/>
        <v>0</v>
      </c>
      <c r="J49" s="476"/>
      <c r="K49" s="488"/>
      <c r="L49" s="479">
        <f t="shared" si="11"/>
        <v>0</v>
      </c>
      <c r="M49" s="488"/>
      <c r="N49" s="479">
        <f t="shared" si="5"/>
        <v>0</v>
      </c>
      <c r="O49" s="479">
        <f t="shared" si="6"/>
        <v>0</v>
      </c>
      <c r="P49" s="243"/>
    </row>
    <row r="50" spans="2:16" ht="12.5">
      <c r="B50" s="160" t="str">
        <f t="shared" si="4"/>
        <v/>
      </c>
      <c r="C50" s="473">
        <f>IF(D11="","-",+C49+1)</f>
        <v>2048</v>
      </c>
      <c r="D50" s="486">
        <f>IF(F49+SUM(E$17:E49)=D$10,F49,D$10-SUM(E$17:E49))</f>
        <v>443128.94528112002</v>
      </c>
      <c r="E50" s="485">
        <f t="shared" si="7"/>
        <v>39349.372093023259</v>
      </c>
      <c r="F50" s="486">
        <f t="shared" si="8"/>
        <v>403779.57318809675</v>
      </c>
      <c r="G50" s="487">
        <f t="shared" si="9"/>
        <v>88070.467309448228</v>
      </c>
      <c r="H50" s="456">
        <f t="shared" si="10"/>
        <v>88070.467309448228</v>
      </c>
      <c r="I50" s="476">
        <f t="shared" si="3"/>
        <v>0</v>
      </c>
      <c r="J50" s="476"/>
      <c r="K50" s="488"/>
      <c r="L50" s="479">
        <f t="shared" si="11"/>
        <v>0</v>
      </c>
      <c r="M50" s="488"/>
      <c r="N50" s="479">
        <f t="shared" si="5"/>
        <v>0</v>
      </c>
      <c r="O50" s="479">
        <f t="shared" si="6"/>
        <v>0</v>
      </c>
      <c r="P50" s="243"/>
    </row>
    <row r="51" spans="2:16" ht="12.5">
      <c r="B51" s="160" t="str">
        <f t="shared" si="4"/>
        <v/>
      </c>
      <c r="C51" s="473">
        <f>IF(D11="","-",+C50+1)</f>
        <v>2049</v>
      </c>
      <c r="D51" s="486">
        <f>IF(F50+SUM(E$17:E50)=D$10,F50,D$10-SUM(E$17:E50))</f>
        <v>403779.57318809675</v>
      </c>
      <c r="E51" s="485">
        <f t="shared" si="7"/>
        <v>39349.372093023259</v>
      </c>
      <c r="F51" s="486">
        <f t="shared" si="8"/>
        <v>364430.20109507348</v>
      </c>
      <c r="G51" s="487">
        <f t="shared" si="9"/>
        <v>83543.072761768039</v>
      </c>
      <c r="H51" s="456">
        <f t="shared" si="10"/>
        <v>83543.072761768039</v>
      </c>
      <c r="I51" s="476">
        <f t="shared" si="3"/>
        <v>0</v>
      </c>
      <c r="J51" s="476"/>
      <c r="K51" s="488"/>
      <c r="L51" s="479">
        <f t="shared" si="11"/>
        <v>0</v>
      </c>
      <c r="M51" s="488"/>
      <c r="N51" s="479">
        <f t="shared" si="5"/>
        <v>0</v>
      </c>
      <c r="O51" s="479">
        <f t="shared" si="6"/>
        <v>0</v>
      </c>
      <c r="P51" s="243"/>
    </row>
    <row r="52" spans="2:16" ht="12.5">
      <c r="B52" s="160" t="str">
        <f t="shared" si="4"/>
        <v/>
      </c>
      <c r="C52" s="473">
        <f>IF(D11="","-",+C51+1)</f>
        <v>2050</v>
      </c>
      <c r="D52" s="486">
        <f>IF(F51+SUM(E$17:E51)=D$10,F51,D$10-SUM(E$17:E51))</f>
        <v>364430.20109507348</v>
      </c>
      <c r="E52" s="485">
        <f t="shared" si="7"/>
        <v>39349.372093023259</v>
      </c>
      <c r="F52" s="486">
        <f t="shared" si="8"/>
        <v>325080.82900205022</v>
      </c>
      <c r="G52" s="487">
        <f t="shared" si="9"/>
        <v>79015.678214087849</v>
      </c>
      <c r="H52" s="456">
        <f t="shared" si="10"/>
        <v>79015.678214087849</v>
      </c>
      <c r="I52" s="476">
        <f t="shared" si="3"/>
        <v>0</v>
      </c>
      <c r="J52" s="476"/>
      <c r="K52" s="488"/>
      <c r="L52" s="479">
        <f t="shared" si="11"/>
        <v>0</v>
      </c>
      <c r="M52" s="488"/>
      <c r="N52" s="479">
        <f t="shared" si="5"/>
        <v>0</v>
      </c>
      <c r="O52" s="479">
        <f t="shared" si="6"/>
        <v>0</v>
      </c>
      <c r="P52" s="243"/>
    </row>
    <row r="53" spans="2:16" ht="12.5">
      <c r="B53" s="160" t="str">
        <f t="shared" si="4"/>
        <v/>
      </c>
      <c r="C53" s="473">
        <f>IF(D11="","-",+C52+1)</f>
        <v>2051</v>
      </c>
      <c r="D53" s="486">
        <f>IF(F52+SUM(E$17:E52)=D$10,F52,D$10-SUM(E$17:E52))</f>
        <v>325080.82900205022</v>
      </c>
      <c r="E53" s="485">
        <f t="shared" si="7"/>
        <v>39349.372093023259</v>
      </c>
      <c r="F53" s="486">
        <f t="shared" si="8"/>
        <v>285731.45690902695</v>
      </c>
      <c r="G53" s="487">
        <f t="shared" si="9"/>
        <v>74488.283666407646</v>
      </c>
      <c r="H53" s="456">
        <f t="shared" si="10"/>
        <v>74488.283666407646</v>
      </c>
      <c r="I53" s="476">
        <f t="shared" si="3"/>
        <v>0</v>
      </c>
      <c r="J53" s="476"/>
      <c r="K53" s="488"/>
      <c r="L53" s="479">
        <f t="shared" si="11"/>
        <v>0</v>
      </c>
      <c r="M53" s="488"/>
      <c r="N53" s="479">
        <f t="shared" si="5"/>
        <v>0</v>
      </c>
      <c r="O53" s="479">
        <f t="shared" si="6"/>
        <v>0</v>
      </c>
      <c r="P53" s="243"/>
    </row>
    <row r="54" spans="2:16" ht="12.5">
      <c r="B54" s="160" t="str">
        <f t="shared" si="4"/>
        <v/>
      </c>
      <c r="C54" s="473">
        <f>IF(D11="","-",+C53+1)</f>
        <v>2052</v>
      </c>
      <c r="D54" s="486">
        <f>IF(F53+SUM(E$17:E53)=D$10,F53,D$10-SUM(E$17:E53))</f>
        <v>285731.45690902695</v>
      </c>
      <c r="E54" s="485">
        <f t="shared" si="7"/>
        <v>39349.372093023259</v>
      </c>
      <c r="F54" s="486">
        <f t="shared" si="8"/>
        <v>246382.08481600368</v>
      </c>
      <c r="G54" s="487">
        <f t="shared" si="9"/>
        <v>69960.889118727442</v>
      </c>
      <c r="H54" s="456">
        <f t="shared" si="10"/>
        <v>69960.889118727442</v>
      </c>
      <c r="I54" s="476">
        <f t="shared" si="3"/>
        <v>0</v>
      </c>
      <c r="J54" s="476"/>
      <c r="K54" s="488"/>
      <c r="L54" s="479">
        <f t="shared" si="11"/>
        <v>0</v>
      </c>
      <c r="M54" s="488"/>
      <c r="N54" s="479">
        <f t="shared" si="5"/>
        <v>0</v>
      </c>
      <c r="O54" s="479">
        <f t="shared" si="6"/>
        <v>0</v>
      </c>
      <c r="P54" s="243"/>
    </row>
    <row r="55" spans="2:16" ht="12.5">
      <c r="B55" s="160" t="str">
        <f t="shared" si="4"/>
        <v/>
      </c>
      <c r="C55" s="473">
        <f>IF(D11="","-",+C54+1)</f>
        <v>2053</v>
      </c>
      <c r="D55" s="486">
        <f>IF(F54+SUM(E$17:E54)=D$10,F54,D$10-SUM(E$17:E54))</f>
        <v>246382.08481600368</v>
      </c>
      <c r="E55" s="485">
        <f t="shared" si="7"/>
        <v>39349.372093023259</v>
      </c>
      <c r="F55" s="486">
        <f t="shared" si="8"/>
        <v>207032.71272298042</v>
      </c>
      <c r="G55" s="487">
        <f t="shared" si="9"/>
        <v>65433.494571047253</v>
      </c>
      <c r="H55" s="456">
        <f t="shared" si="10"/>
        <v>65433.494571047253</v>
      </c>
      <c r="I55" s="476">
        <f t="shared" si="3"/>
        <v>0</v>
      </c>
      <c r="J55" s="476"/>
      <c r="K55" s="488"/>
      <c r="L55" s="479">
        <f t="shared" si="11"/>
        <v>0</v>
      </c>
      <c r="M55" s="488"/>
      <c r="N55" s="479">
        <f t="shared" si="5"/>
        <v>0</v>
      </c>
      <c r="O55" s="479">
        <f t="shared" si="6"/>
        <v>0</v>
      </c>
      <c r="P55" s="243"/>
    </row>
    <row r="56" spans="2:16" ht="12.5">
      <c r="B56" s="160" t="str">
        <f t="shared" si="4"/>
        <v/>
      </c>
      <c r="C56" s="473">
        <f>IF(D11="","-",+C55+1)</f>
        <v>2054</v>
      </c>
      <c r="D56" s="486">
        <f>IF(F55+SUM(E$17:E55)=D$10,F55,D$10-SUM(E$17:E55))</f>
        <v>207032.71272298042</v>
      </c>
      <c r="E56" s="485">
        <f t="shared" si="7"/>
        <v>39349.372093023259</v>
      </c>
      <c r="F56" s="486">
        <f t="shared" si="8"/>
        <v>167683.34062995715</v>
      </c>
      <c r="G56" s="487">
        <f t="shared" si="9"/>
        <v>60906.100023367057</v>
      </c>
      <c r="H56" s="456">
        <f t="shared" si="10"/>
        <v>60906.100023367057</v>
      </c>
      <c r="I56" s="476">
        <f t="shared" si="3"/>
        <v>0</v>
      </c>
      <c r="J56" s="476"/>
      <c r="K56" s="488"/>
      <c r="L56" s="479">
        <f t="shared" si="11"/>
        <v>0</v>
      </c>
      <c r="M56" s="488"/>
      <c r="N56" s="479">
        <f t="shared" si="5"/>
        <v>0</v>
      </c>
      <c r="O56" s="479">
        <f t="shared" si="6"/>
        <v>0</v>
      </c>
      <c r="P56" s="243"/>
    </row>
    <row r="57" spans="2:16" ht="12.5">
      <c r="B57" s="160" t="str">
        <f t="shared" si="4"/>
        <v/>
      </c>
      <c r="C57" s="473">
        <f>IF(D11="","-",+C56+1)</f>
        <v>2055</v>
      </c>
      <c r="D57" s="486">
        <f>IF(F56+SUM(E$17:E56)=D$10,F56,D$10-SUM(E$17:E56))</f>
        <v>167683.34062995715</v>
      </c>
      <c r="E57" s="485">
        <f t="shared" si="7"/>
        <v>39349.372093023259</v>
      </c>
      <c r="F57" s="486">
        <f t="shared" si="8"/>
        <v>128333.96853693388</v>
      </c>
      <c r="G57" s="487">
        <f t="shared" si="9"/>
        <v>56378.70547568686</v>
      </c>
      <c r="H57" s="456">
        <f t="shared" si="10"/>
        <v>56378.70547568686</v>
      </c>
      <c r="I57" s="476">
        <f t="shared" si="3"/>
        <v>0</v>
      </c>
      <c r="J57" s="476"/>
      <c r="K57" s="488"/>
      <c r="L57" s="479">
        <f t="shared" si="11"/>
        <v>0</v>
      </c>
      <c r="M57" s="488"/>
      <c r="N57" s="479">
        <f t="shared" si="5"/>
        <v>0</v>
      </c>
      <c r="O57" s="479">
        <f t="shared" si="6"/>
        <v>0</v>
      </c>
      <c r="P57" s="243"/>
    </row>
    <row r="58" spans="2:16" ht="12.5">
      <c r="B58" s="160" t="str">
        <f t="shared" si="4"/>
        <v/>
      </c>
      <c r="C58" s="473">
        <f>IF(D11="","-",+C57+1)</f>
        <v>2056</v>
      </c>
      <c r="D58" s="486">
        <f>IF(F57+SUM(E$17:E57)=D$10,F57,D$10-SUM(E$17:E57))</f>
        <v>128333.96853693388</v>
      </c>
      <c r="E58" s="485">
        <f t="shared" si="7"/>
        <v>39349.372093023259</v>
      </c>
      <c r="F58" s="486">
        <f t="shared" si="8"/>
        <v>88984.596443910617</v>
      </c>
      <c r="G58" s="487">
        <f t="shared" si="9"/>
        <v>51851.310928006664</v>
      </c>
      <c r="H58" s="456">
        <f t="shared" si="10"/>
        <v>51851.310928006664</v>
      </c>
      <c r="I58" s="476">
        <f t="shared" si="3"/>
        <v>0</v>
      </c>
      <c r="J58" s="476"/>
      <c r="K58" s="488"/>
      <c r="L58" s="479">
        <f t="shared" si="11"/>
        <v>0</v>
      </c>
      <c r="M58" s="488"/>
      <c r="N58" s="479">
        <f t="shared" si="5"/>
        <v>0</v>
      </c>
      <c r="O58" s="479">
        <f t="shared" si="6"/>
        <v>0</v>
      </c>
      <c r="P58" s="243"/>
    </row>
    <row r="59" spans="2:16" ht="12.5">
      <c r="B59" s="160" t="str">
        <f t="shared" si="4"/>
        <v/>
      </c>
      <c r="C59" s="473">
        <f>IF(D11="","-",+C58+1)</f>
        <v>2057</v>
      </c>
      <c r="D59" s="486">
        <f>IF(F58+SUM(E$17:E58)=D$10,F58,D$10-SUM(E$17:E58))</f>
        <v>88984.596443910617</v>
      </c>
      <c r="E59" s="485">
        <f t="shared" si="7"/>
        <v>39349.372093023259</v>
      </c>
      <c r="F59" s="486">
        <f t="shared" si="8"/>
        <v>49635.224350887358</v>
      </c>
      <c r="G59" s="487">
        <f t="shared" si="9"/>
        <v>47323.916380326467</v>
      </c>
      <c r="H59" s="456">
        <f t="shared" si="10"/>
        <v>47323.916380326467</v>
      </c>
      <c r="I59" s="476">
        <f t="shared" si="3"/>
        <v>0</v>
      </c>
      <c r="J59" s="476"/>
      <c r="K59" s="488"/>
      <c r="L59" s="479">
        <f t="shared" si="11"/>
        <v>0</v>
      </c>
      <c r="M59" s="488"/>
      <c r="N59" s="479">
        <f t="shared" si="5"/>
        <v>0</v>
      </c>
      <c r="O59" s="479">
        <f t="shared" si="6"/>
        <v>0</v>
      </c>
      <c r="P59" s="243"/>
    </row>
    <row r="60" spans="2:16" ht="12.5">
      <c r="B60" s="160" t="str">
        <f t="shared" si="4"/>
        <v/>
      </c>
      <c r="C60" s="473">
        <f>IF(D11="","-",+C59+1)</f>
        <v>2058</v>
      </c>
      <c r="D60" s="486">
        <f>IF(F59+SUM(E$17:E59)=D$10,F59,D$10-SUM(E$17:E59))</f>
        <v>49635.224350887358</v>
      </c>
      <c r="E60" s="485">
        <f t="shared" si="7"/>
        <v>39349.372093023259</v>
      </c>
      <c r="F60" s="486">
        <f t="shared" si="8"/>
        <v>10285.852257864099</v>
      </c>
      <c r="G60" s="487">
        <f t="shared" si="9"/>
        <v>42796.521832646278</v>
      </c>
      <c r="H60" s="456">
        <f t="shared" si="10"/>
        <v>42796.521832646278</v>
      </c>
      <c r="I60" s="476">
        <f t="shared" si="3"/>
        <v>0</v>
      </c>
      <c r="J60" s="476"/>
      <c r="K60" s="488"/>
      <c r="L60" s="479">
        <f t="shared" si="11"/>
        <v>0</v>
      </c>
      <c r="M60" s="488"/>
      <c r="N60" s="479">
        <f t="shared" si="5"/>
        <v>0</v>
      </c>
      <c r="O60" s="479">
        <f t="shared" si="6"/>
        <v>0</v>
      </c>
      <c r="P60" s="243"/>
    </row>
    <row r="61" spans="2:16" ht="12.5">
      <c r="B61" s="160" t="str">
        <f t="shared" si="4"/>
        <v/>
      </c>
      <c r="C61" s="473">
        <f>IF(D11="","-",+C60+1)</f>
        <v>2059</v>
      </c>
      <c r="D61" s="486">
        <f>IF(F60+SUM(E$17:E60)=D$10,F60,D$10-SUM(E$17:E60))</f>
        <v>10285.852257864099</v>
      </c>
      <c r="E61" s="485">
        <f t="shared" si="7"/>
        <v>10285.852257864099</v>
      </c>
      <c r="F61" s="486">
        <f t="shared" si="8"/>
        <v>0</v>
      </c>
      <c r="G61" s="487">
        <f t="shared" si="9"/>
        <v>10877.578490755557</v>
      </c>
      <c r="H61" s="456">
        <f t="shared" si="10"/>
        <v>10877.578490755557</v>
      </c>
      <c r="I61" s="476">
        <f t="shared" si="3"/>
        <v>0</v>
      </c>
      <c r="J61" s="476"/>
      <c r="K61" s="488"/>
      <c r="L61" s="479">
        <f t="shared" si="11"/>
        <v>0</v>
      </c>
      <c r="M61" s="488"/>
      <c r="N61" s="479">
        <f t="shared" si="5"/>
        <v>0</v>
      </c>
      <c r="O61" s="479">
        <f t="shared" si="6"/>
        <v>0</v>
      </c>
      <c r="P61" s="243"/>
    </row>
    <row r="62" spans="2:16" ht="12.5">
      <c r="B62" s="160" t="str">
        <f t="shared" si="4"/>
        <v/>
      </c>
      <c r="C62" s="473">
        <f>IF(D11="","-",+C61+1)</f>
        <v>2060</v>
      </c>
      <c r="D62" s="486">
        <f>IF(F61+SUM(E$17:E61)=D$10,F61,D$10-SUM(E$17:E61))</f>
        <v>0</v>
      </c>
      <c r="E62" s="485">
        <f t="shared" si="7"/>
        <v>0</v>
      </c>
      <c r="F62" s="486">
        <f t="shared" si="8"/>
        <v>0</v>
      </c>
      <c r="G62" s="487">
        <f t="shared" si="9"/>
        <v>0</v>
      </c>
      <c r="H62" s="456">
        <f t="shared" si="10"/>
        <v>0</v>
      </c>
      <c r="I62" s="476">
        <f t="shared" si="3"/>
        <v>0</v>
      </c>
      <c r="J62" s="476"/>
      <c r="K62" s="488"/>
      <c r="L62" s="479">
        <f t="shared" si="11"/>
        <v>0</v>
      </c>
      <c r="M62" s="488"/>
      <c r="N62" s="479">
        <f t="shared" si="5"/>
        <v>0</v>
      </c>
      <c r="O62" s="479">
        <f t="shared" si="6"/>
        <v>0</v>
      </c>
      <c r="P62" s="243"/>
    </row>
    <row r="63" spans="2:16" ht="12.5">
      <c r="B63" s="160" t="str">
        <f t="shared" si="4"/>
        <v/>
      </c>
      <c r="C63" s="473">
        <f>IF(D11="","-",+C62+1)</f>
        <v>2061</v>
      </c>
      <c r="D63" s="486">
        <f>IF(F62+SUM(E$17:E62)=D$10,F62,D$10-SUM(E$17:E62))</f>
        <v>0</v>
      </c>
      <c r="E63" s="485">
        <f t="shared" si="7"/>
        <v>0</v>
      </c>
      <c r="F63" s="486">
        <f t="shared" si="8"/>
        <v>0</v>
      </c>
      <c r="G63" s="487">
        <f t="shared" si="9"/>
        <v>0</v>
      </c>
      <c r="H63" s="456">
        <f t="shared" si="10"/>
        <v>0</v>
      </c>
      <c r="I63" s="476">
        <f t="shared" si="3"/>
        <v>0</v>
      </c>
      <c r="J63" s="476"/>
      <c r="K63" s="488"/>
      <c r="L63" s="479">
        <f t="shared" si="11"/>
        <v>0</v>
      </c>
      <c r="M63" s="488"/>
      <c r="N63" s="479">
        <f t="shared" si="5"/>
        <v>0</v>
      </c>
      <c r="O63" s="479">
        <f t="shared" si="6"/>
        <v>0</v>
      </c>
      <c r="P63" s="243"/>
    </row>
    <row r="64" spans="2:16" ht="12.5">
      <c r="B64" s="160" t="str">
        <f t="shared" si="4"/>
        <v/>
      </c>
      <c r="C64" s="473">
        <f>IF(D11="","-",+C63+1)</f>
        <v>2062</v>
      </c>
      <c r="D64" s="486">
        <f>IF(F63+SUM(E$17:E63)=D$10,F63,D$10-SUM(E$17:E63))</f>
        <v>0</v>
      </c>
      <c r="E64" s="485">
        <f t="shared" si="7"/>
        <v>0</v>
      </c>
      <c r="F64" s="486">
        <f t="shared" si="8"/>
        <v>0</v>
      </c>
      <c r="G64" s="487">
        <f t="shared" si="9"/>
        <v>0</v>
      </c>
      <c r="H64" s="456">
        <f t="shared" si="10"/>
        <v>0</v>
      </c>
      <c r="I64" s="476">
        <f t="shared" si="3"/>
        <v>0</v>
      </c>
      <c r="J64" s="476"/>
      <c r="K64" s="488"/>
      <c r="L64" s="479">
        <f t="shared" si="11"/>
        <v>0</v>
      </c>
      <c r="M64" s="488"/>
      <c r="N64" s="479">
        <f t="shared" si="5"/>
        <v>0</v>
      </c>
      <c r="O64" s="479">
        <f t="shared" si="6"/>
        <v>0</v>
      </c>
      <c r="P64" s="243"/>
    </row>
    <row r="65" spans="2:16" ht="12.5">
      <c r="B65" s="160" t="str">
        <f t="shared" si="4"/>
        <v/>
      </c>
      <c r="C65" s="473">
        <f>IF(D11="","-",+C64+1)</f>
        <v>2063</v>
      </c>
      <c r="D65" s="486">
        <f>IF(F64+SUM(E$17:E64)=D$10,F64,D$10-SUM(E$17:E64))</f>
        <v>0</v>
      </c>
      <c r="E65" s="485">
        <f t="shared" si="7"/>
        <v>0</v>
      </c>
      <c r="F65" s="486">
        <f t="shared" si="8"/>
        <v>0</v>
      </c>
      <c r="G65" s="487">
        <f t="shared" si="9"/>
        <v>0</v>
      </c>
      <c r="H65" s="456">
        <f t="shared" si="10"/>
        <v>0</v>
      </c>
      <c r="I65" s="476">
        <f t="shared" si="3"/>
        <v>0</v>
      </c>
      <c r="J65" s="476"/>
      <c r="K65" s="488"/>
      <c r="L65" s="479">
        <f t="shared" si="11"/>
        <v>0</v>
      </c>
      <c r="M65" s="488"/>
      <c r="N65" s="479">
        <f t="shared" si="5"/>
        <v>0</v>
      </c>
      <c r="O65" s="479">
        <f t="shared" si="6"/>
        <v>0</v>
      </c>
      <c r="P65" s="243"/>
    </row>
    <row r="66" spans="2:16" ht="12.5">
      <c r="B66" s="160" t="str">
        <f t="shared" si="4"/>
        <v/>
      </c>
      <c r="C66" s="473">
        <f>IF(D11="","-",+C65+1)</f>
        <v>2064</v>
      </c>
      <c r="D66" s="486">
        <f>IF(F65+SUM(E$17:E65)=D$10,F65,D$10-SUM(E$17:E65))</f>
        <v>0</v>
      </c>
      <c r="E66" s="485">
        <f t="shared" si="7"/>
        <v>0</v>
      </c>
      <c r="F66" s="486">
        <f t="shared" si="8"/>
        <v>0</v>
      </c>
      <c r="G66" s="487">
        <f t="shared" si="9"/>
        <v>0</v>
      </c>
      <c r="H66" s="456">
        <f t="shared" si="10"/>
        <v>0</v>
      </c>
      <c r="I66" s="476">
        <f t="shared" si="3"/>
        <v>0</v>
      </c>
      <c r="J66" s="476"/>
      <c r="K66" s="488"/>
      <c r="L66" s="479">
        <f t="shared" si="11"/>
        <v>0</v>
      </c>
      <c r="M66" s="488"/>
      <c r="N66" s="479">
        <f t="shared" si="5"/>
        <v>0</v>
      </c>
      <c r="O66" s="479">
        <f t="shared" si="6"/>
        <v>0</v>
      </c>
      <c r="P66" s="243"/>
    </row>
    <row r="67" spans="2:16" ht="12.5">
      <c r="B67" s="160" t="str">
        <f t="shared" si="4"/>
        <v/>
      </c>
      <c r="C67" s="473">
        <f>IF(D11="","-",+C66+1)</f>
        <v>2065</v>
      </c>
      <c r="D67" s="486">
        <f>IF(F66+SUM(E$17:E66)=D$10,F66,D$10-SUM(E$17:E66))</f>
        <v>0</v>
      </c>
      <c r="E67" s="485">
        <f t="shared" si="7"/>
        <v>0</v>
      </c>
      <c r="F67" s="486">
        <f t="shared" si="8"/>
        <v>0</v>
      </c>
      <c r="G67" s="487">
        <f t="shared" si="9"/>
        <v>0</v>
      </c>
      <c r="H67" s="456">
        <f t="shared" si="10"/>
        <v>0</v>
      </c>
      <c r="I67" s="476">
        <f t="shared" si="3"/>
        <v>0</v>
      </c>
      <c r="J67" s="476"/>
      <c r="K67" s="488"/>
      <c r="L67" s="479">
        <f t="shared" si="11"/>
        <v>0</v>
      </c>
      <c r="M67" s="488"/>
      <c r="N67" s="479">
        <f t="shared" si="5"/>
        <v>0</v>
      </c>
      <c r="O67" s="479">
        <f t="shared" si="6"/>
        <v>0</v>
      </c>
      <c r="P67" s="243"/>
    </row>
    <row r="68" spans="2:16" ht="12.5">
      <c r="B68" s="160" t="str">
        <f t="shared" si="4"/>
        <v/>
      </c>
      <c r="C68" s="473">
        <f>IF(D11="","-",+C67+1)</f>
        <v>2066</v>
      </c>
      <c r="D68" s="486">
        <f>IF(F67+SUM(E$17:E67)=D$10,F67,D$10-SUM(E$17:E67))</f>
        <v>0</v>
      </c>
      <c r="E68" s="485">
        <f t="shared" si="7"/>
        <v>0</v>
      </c>
      <c r="F68" s="486">
        <f t="shared" si="8"/>
        <v>0</v>
      </c>
      <c r="G68" s="487">
        <f t="shared" si="9"/>
        <v>0</v>
      </c>
      <c r="H68" s="456">
        <f t="shared" si="10"/>
        <v>0</v>
      </c>
      <c r="I68" s="476">
        <f t="shared" si="3"/>
        <v>0</v>
      </c>
      <c r="J68" s="476"/>
      <c r="K68" s="488"/>
      <c r="L68" s="479">
        <f t="shared" si="11"/>
        <v>0</v>
      </c>
      <c r="M68" s="488"/>
      <c r="N68" s="479">
        <f t="shared" si="5"/>
        <v>0</v>
      </c>
      <c r="O68" s="479">
        <f t="shared" si="6"/>
        <v>0</v>
      </c>
      <c r="P68" s="243"/>
    </row>
    <row r="69" spans="2:16" ht="12.5">
      <c r="B69" s="160" t="str">
        <f t="shared" si="4"/>
        <v/>
      </c>
      <c r="C69" s="473">
        <f>IF(D11="","-",+C68+1)</f>
        <v>2067</v>
      </c>
      <c r="D69" s="486">
        <f>IF(F68+SUM(E$17:E68)=D$10,F68,D$10-SUM(E$17:E68))</f>
        <v>0</v>
      </c>
      <c r="E69" s="485">
        <f t="shared" si="7"/>
        <v>0</v>
      </c>
      <c r="F69" s="486">
        <f t="shared" si="8"/>
        <v>0</v>
      </c>
      <c r="G69" s="487">
        <f t="shared" si="9"/>
        <v>0</v>
      </c>
      <c r="H69" s="456">
        <f t="shared" si="10"/>
        <v>0</v>
      </c>
      <c r="I69" s="476">
        <f t="shared" si="3"/>
        <v>0</v>
      </c>
      <c r="J69" s="476"/>
      <c r="K69" s="488"/>
      <c r="L69" s="479">
        <f t="shared" si="11"/>
        <v>0</v>
      </c>
      <c r="M69" s="488"/>
      <c r="N69" s="479">
        <f t="shared" si="5"/>
        <v>0</v>
      </c>
      <c r="O69" s="479">
        <f t="shared" si="6"/>
        <v>0</v>
      </c>
      <c r="P69" s="243"/>
    </row>
    <row r="70" spans="2:16" ht="12.5">
      <c r="B70" s="160" t="str">
        <f t="shared" si="4"/>
        <v/>
      </c>
      <c r="C70" s="473">
        <f>IF(D11="","-",+C69+1)</f>
        <v>2068</v>
      </c>
      <c r="D70" s="486">
        <f>IF(F69+SUM(E$17:E69)=D$10,F69,D$10-SUM(E$17:E69))</f>
        <v>0</v>
      </c>
      <c r="E70" s="485">
        <f t="shared" si="7"/>
        <v>0</v>
      </c>
      <c r="F70" s="486">
        <f t="shared" si="8"/>
        <v>0</v>
      </c>
      <c r="G70" s="487">
        <f t="shared" si="9"/>
        <v>0</v>
      </c>
      <c r="H70" s="456">
        <f t="shared" si="10"/>
        <v>0</v>
      </c>
      <c r="I70" s="476">
        <f t="shared" si="3"/>
        <v>0</v>
      </c>
      <c r="J70" s="476"/>
      <c r="K70" s="488"/>
      <c r="L70" s="479">
        <f t="shared" si="11"/>
        <v>0</v>
      </c>
      <c r="M70" s="488"/>
      <c r="N70" s="479">
        <f t="shared" si="5"/>
        <v>0</v>
      </c>
      <c r="O70" s="479">
        <f t="shared" si="6"/>
        <v>0</v>
      </c>
      <c r="P70" s="243"/>
    </row>
    <row r="71" spans="2:16" ht="12.5">
      <c r="B71" s="160" t="str">
        <f t="shared" si="4"/>
        <v/>
      </c>
      <c r="C71" s="473">
        <f>IF(D11="","-",+C70+1)</f>
        <v>2069</v>
      </c>
      <c r="D71" s="486">
        <f>IF(F70+SUM(E$17:E70)=D$10,F70,D$10-SUM(E$17:E70))</f>
        <v>0</v>
      </c>
      <c r="E71" s="485">
        <f t="shared" si="7"/>
        <v>0</v>
      </c>
      <c r="F71" s="486">
        <f t="shared" si="8"/>
        <v>0</v>
      </c>
      <c r="G71" s="487">
        <f t="shared" si="9"/>
        <v>0</v>
      </c>
      <c r="H71" s="456">
        <f t="shared" si="10"/>
        <v>0</v>
      </c>
      <c r="I71" s="476">
        <f t="shared" si="3"/>
        <v>0</v>
      </c>
      <c r="J71" s="476"/>
      <c r="K71" s="488"/>
      <c r="L71" s="479">
        <f t="shared" si="11"/>
        <v>0</v>
      </c>
      <c r="M71" s="488"/>
      <c r="N71" s="479">
        <f t="shared" si="5"/>
        <v>0</v>
      </c>
      <c r="O71" s="479">
        <f t="shared" si="6"/>
        <v>0</v>
      </c>
      <c r="P71" s="243"/>
    </row>
    <row r="72" spans="2:16" ht="13" thickBot="1">
      <c r="B72" s="160" t="str">
        <f t="shared" si="4"/>
        <v/>
      </c>
      <c r="C72" s="490">
        <f>IF(D11="","-",+C71+1)</f>
        <v>2070</v>
      </c>
      <c r="D72" s="491">
        <f>IF(F71+SUM(E$17:E71)=D$10,F71,D$10-SUM(E$17:E71))</f>
        <v>0</v>
      </c>
      <c r="E72" s="492">
        <f t="shared" si="7"/>
        <v>0</v>
      </c>
      <c r="F72" s="491">
        <f t="shared" si="8"/>
        <v>0</v>
      </c>
      <c r="G72" s="491">
        <f t="shared" si="9"/>
        <v>0</v>
      </c>
      <c r="H72" s="491">
        <f t="shared" si="10"/>
        <v>0</v>
      </c>
      <c r="I72" s="494">
        <f t="shared" si="3"/>
        <v>0</v>
      </c>
      <c r="J72" s="476"/>
      <c r="K72" s="495"/>
      <c r="L72" s="496">
        <f t="shared" si="11"/>
        <v>0</v>
      </c>
      <c r="M72" s="495"/>
      <c r="N72" s="496">
        <f t="shared" si="5"/>
        <v>0</v>
      </c>
      <c r="O72" s="496">
        <f t="shared" si="6"/>
        <v>0</v>
      </c>
      <c r="P72" s="243"/>
    </row>
    <row r="73" spans="2:16" ht="12.5">
      <c r="C73" s="347" t="s">
        <v>77</v>
      </c>
      <c r="D73" s="348"/>
      <c r="E73" s="348">
        <f>SUM(E17:E72)</f>
        <v>1692022.9999999998</v>
      </c>
      <c r="F73" s="348"/>
      <c r="G73" s="348">
        <f>SUM(G17:G72)</f>
        <v>6236462.7099198094</v>
      </c>
      <c r="H73" s="348">
        <f>SUM(H17:H72)</f>
        <v>6236462.7099198094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17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205069.7033172223</v>
      </c>
      <c r="N87" s="509">
        <f>IF(J92&lt;D11,0,VLOOKUP(J92,C17:O72,11))</f>
        <v>205069.7033172223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214389.19300086203</v>
      </c>
      <c r="N88" s="513">
        <f>IF(J92&lt;D11,0,VLOOKUP(J92,C99:P154,7))</f>
        <v>214389.19300086203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Grady Customer Connection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9319.4896836397238</v>
      </c>
      <c r="N89" s="518">
        <f>+N88-N87</f>
        <v>9319.4896836397238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TP2013002</v>
      </c>
      <c r="E91" s="523" t="str">
        <f>E9</f>
        <v xml:space="preserve">  SPP Project ID = 30748</v>
      </c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610">
        <v>1692023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2015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12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39349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2015</v>
      </c>
      <c r="D99" s="585">
        <v>0</v>
      </c>
      <c r="E99" s="609">
        <v>0</v>
      </c>
      <c r="F99" s="585">
        <v>1625288</v>
      </c>
      <c r="G99" s="609">
        <v>812644</v>
      </c>
      <c r="H99" s="588">
        <v>110878.7398202499</v>
      </c>
      <c r="I99" s="608">
        <v>110878.7398202499</v>
      </c>
      <c r="J99" s="479">
        <f>+I99-H99</f>
        <v>0</v>
      </c>
      <c r="K99" s="479"/>
      <c r="L99" s="555">
        <f>+H99</f>
        <v>110878.7398202499</v>
      </c>
      <c r="M99" s="478">
        <f t="shared" ref="M99:M130" si="12">IF(L99&lt;&gt;0,+H99-L99,0)</f>
        <v>0</v>
      </c>
      <c r="N99" s="555">
        <f>+I99</f>
        <v>110878.7398202499</v>
      </c>
      <c r="O99" s="478">
        <f t="shared" ref="O99:O130" si="13">IF(N99&lt;&gt;0,+I99-N99,0)</f>
        <v>0</v>
      </c>
      <c r="P99" s="478">
        <f t="shared" ref="P99:P130" si="14">+O99-M99</f>
        <v>0</v>
      </c>
    </row>
    <row r="100" spans="1:16" ht="12.5">
      <c r="B100" s="160" t="str">
        <f>IF(D100=F99,"","IU")</f>
        <v>IU</v>
      </c>
      <c r="C100" s="473">
        <f>IF(D93="","-",+C99+1)</f>
        <v>2016</v>
      </c>
      <c r="D100" s="585">
        <v>1692023</v>
      </c>
      <c r="E100" s="586">
        <v>36783</v>
      </c>
      <c r="F100" s="587">
        <v>1655240</v>
      </c>
      <c r="G100" s="587">
        <v>1673631.5</v>
      </c>
      <c r="H100" s="607">
        <v>252540.45816220198</v>
      </c>
      <c r="I100" s="608">
        <v>252540.45816220198</v>
      </c>
      <c r="J100" s="479">
        <f>+I100-H100</f>
        <v>0</v>
      </c>
      <c r="K100" s="479"/>
      <c r="L100" s="477">
        <f>H100</f>
        <v>252540.45816220198</v>
      </c>
      <c r="M100" s="604">
        <f>IF(L100&lt;&gt;0,+H100-L100,0)</f>
        <v>0</v>
      </c>
      <c r="N100" s="477">
        <f>I100</f>
        <v>252540.45816220198</v>
      </c>
      <c r="O100" s="479">
        <f>IF(N100&lt;&gt;0,+I100-N100,0)</f>
        <v>0</v>
      </c>
      <c r="P100" s="476">
        <f>+O100-M100</f>
        <v>0</v>
      </c>
    </row>
    <row r="101" spans="1:16" ht="12.5">
      <c r="B101" s="160" t="str">
        <f t="shared" ref="B101:B154" si="15">IF(D101=F100,"","IU")</f>
        <v/>
      </c>
      <c r="C101" s="473">
        <f>IF(D93="","-",+C100+1)</f>
        <v>2017</v>
      </c>
      <c r="D101" s="585">
        <v>1655240</v>
      </c>
      <c r="E101" s="586">
        <v>36783</v>
      </c>
      <c r="F101" s="587">
        <v>1618457</v>
      </c>
      <c r="G101" s="587">
        <v>1636848.5</v>
      </c>
      <c r="H101" s="607">
        <v>244421.35953995908</v>
      </c>
      <c r="I101" s="608">
        <v>244421.35953995908</v>
      </c>
      <c r="J101" s="479">
        <f t="shared" ref="J101:J154" si="16">+I101-H101</f>
        <v>0</v>
      </c>
      <c r="K101" s="479"/>
      <c r="L101" s="477">
        <f>H101</f>
        <v>244421.35953995908</v>
      </c>
      <c r="M101" s="604">
        <f>IF(L101&lt;&gt;0,+H101-L101,0)</f>
        <v>0</v>
      </c>
      <c r="N101" s="477">
        <f>I101</f>
        <v>244421.35953995908</v>
      </c>
      <c r="O101" s="479">
        <f>IF(N101&lt;&gt;0,+I101-N101,0)</f>
        <v>0</v>
      </c>
      <c r="P101" s="476">
        <f>+O101-M101</f>
        <v>0</v>
      </c>
    </row>
    <row r="102" spans="1:16" ht="12.5">
      <c r="B102" s="160" t="str">
        <f t="shared" si="15"/>
        <v/>
      </c>
      <c r="C102" s="473">
        <f>IF(D93="","-",+C101+1)</f>
        <v>2018</v>
      </c>
      <c r="D102" s="585">
        <v>1618457</v>
      </c>
      <c r="E102" s="586">
        <v>39349</v>
      </c>
      <c r="F102" s="587">
        <v>1579108</v>
      </c>
      <c r="G102" s="587">
        <v>1598782.5</v>
      </c>
      <c r="H102" s="607">
        <v>203600.82637045698</v>
      </c>
      <c r="I102" s="608">
        <v>203600.82637045698</v>
      </c>
      <c r="J102" s="479">
        <f t="shared" si="16"/>
        <v>0</v>
      </c>
      <c r="K102" s="479"/>
      <c r="L102" s="477">
        <f>H102</f>
        <v>203600.82637045698</v>
      </c>
      <c r="M102" s="604">
        <f>IF(L102&lt;&gt;0,+H102-L102,0)</f>
        <v>0</v>
      </c>
      <c r="N102" s="477">
        <f>I102</f>
        <v>203600.82637045698</v>
      </c>
      <c r="O102" s="479">
        <f>IF(N102&lt;&gt;0,+I102-N102,0)</f>
        <v>0</v>
      </c>
      <c r="P102" s="476">
        <f>+O102-M102</f>
        <v>0</v>
      </c>
    </row>
    <row r="103" spans="1:16" ht="12.5">
      <c r="B103" s="160" t="str">
        <f t="shared" si="15"/>
        <v/>
      </c>
      <c r="C103" s="473">
        <f>IF(D93="","-",+C102+1)</f>
        <v>2019</v>
      </c>
      <c r="D103" s="585">
        <v>1579108</v>
      </c>
      <c r="E103" s="586">
        <v>41269</v>
      </c>
      <c r="F103" s="587">
        <v>1537839</v>
      </c>
      <c r="G103" s="587">
        <v>1558473.5</v>
      </c>
      <c r="H103" s="607">
        <v>201969.47712497122</v>
      </c>
      <c r="I103" s="608">
        <v>201969.47712497122</v>
      </c>
      <c r="J103" s="479">
        <f t="shared" si="16"/>
        <v>0</v>
      </c>
      <c r="K103" s="479"/>
      <c r="L103" s="477">
        <f>H103</f>
        <v>201969.47712497122</v>
      </c>
      <c r="M103" s="604">
        <f>IF(L103&lt;&gt;0,+H103-L103,0)</f>
        <v>0</v>
      </c>
      <c r="N103" s="477">
        <f>I103</f>
        <v>201969.47712497122</v>
      </c>
      <c r="O103" s="479">
        <f t="shared" si="13"/>
        <v>0</v>
      </c>
      <c r="P103" s="479">
        <f t="shared" si="14"/>
        <v>0</v>
      </c>
    </row>
    <row r="104" spans="1:16" ht="12.5">
      <c r="B104" s="160" t="str">
        <f t="shared" si="15"/>
        <v/>
      </c>
      <c r="C104" s="473">
        <f>IF(D93="","-",+C103+1)</f>
        <v>2020</v>
      </c>
      <c r="D104" s="347">
        <f>IF(F103+SUM(E$99:E103)=D$92,F103,D$92-SUM(E$99:E103))</f>
        <v>1537839</v>
      </c>
      <c r="E104" s="485">
        <f t="shared" ref="E104:E154" si="17">IF(+J$96&lt;F103,J$96,D104)</f>
        <v>39349</v>
      </c>
      <c r="F104" s="486">
        <f t="shared" ref="F104:F154" si="18">+D104-E104</f>
        <v>1498490</v>
      </c>
      <c r="G104" s="486">
        <f t="shared" ref="G104:G154" si="19">+(F104+D104)/2</f>
        <v>1518164.5</v>
      </c>
      <c r="H104" s="487">
        <f>(D104+F104)/2*J$94+E104</f>
        <v>214389.19300086203</v>
      </c>
      <c r="I104" s="543">
        <f t="shared" ref="I104:I154" si="20">+J$95*G104+E104</f>
        <v>214389.19300086203</v>
      </c>
      <c r="J104" s="479">
        <f t="shared" si="16"/>
        <v>0</v>
      </c>
      <c r="K104" s="479"/>
      <c r="L104" s="488"/>
      <c r="M104" s="479">
        <f t="shared" si="12"/>
        <v>0</v>
      </c>
      <c r="N104" s="488"/>
      <c r="O104" s="479">
        <f t="shared" si="13"/>
        <v>0</v>
      </c>
      <c r="P104" s="479">
        <f t="shared" si="14"/>
        <v>0</v>
      </c>
    </row>
    <row r="105" spans="1:16" ht="12.5">
      <c r="B105" s="160" t="str">
        <f t="shared" si="15"/>
        <v/>
      </c>
      <c r="C105" s="473">
        <f>IF(D93="","-",+C104+1)</f>
        <v>2021</v>
      </c>
      <c r="D105" s="347">
        <f>IF(F104+SUM(E$99:E104)=D$92,F104,D$92-SUM(E$99:E104))</f>
        <v>1498490</v>
      </c>
      <c r="E105" s="485">
        <f t="shared" si="17"/>
        <v>39349</v>
      </c>
      <c r="F105" s="486">
        <f t="shared" si="18"/>
        <v>1459141</v>
      </c>
      <c r="G105" s="486">
        <f t="shared" si="19"/>
        <v>1478815.5</v>
      </c>
      <c r="H105" s="487">
        <f t="shared" ref="H105:H153" si="21">(D105+F105)/2*J$94+E105</f>
        <v>209852.36148201744</v>
      </c>
      <c r="I105" s="543">
        <f t="shared" ref="I105:I153" si="22">+J$95*G105+E105</f>
        <v>209852.36148201744</v>
      </c>
      <c r="J105" s="479">
        <f t="shared" si="16"/>
        <v>0</v>
      </c>
      <c r="K105" s="479"/>
      <c r="L105" s="488"/>
      <c r="M105" s="479">
        <f t="shared" si="12"/>
        <v>0</v>
      </c>
      <c r="N105" s="488"/>
      <c r="O105" s="479">
        <f t="shared" si="13"/>
        <v>0</v>
      </c>
      <c r="P105" s="479">
        <f t="shared" si="14"/>
        <v>0</v>
      </c>
    </row>
    <row r="106" spans="1:16" ht="12.5">
      <c r="B106" s="160" t="str">
        <f t="shared" si="15"/>
        <v/>
      </c>
      <c r="C106" s="473">
        <f>IF(D93="","-",+C105+1)</f>
        <v>2022</v>
      </c>
      <c r="D106" s="347">
        <f>IF(F105+SUM(E$99:E105)=D$92,F105,D$92-SUM(E$99:E105))</f>
        <v>1459141</v>
      </c>
      <c r="E106" s="485">
        <f t="shared" si="17"/>
        <v>39349</v>
      </c>
      <c r="F106" s="486">
        <f t="shared" si="18"/>
        <v>1419792</v>
      </c>
      <c r="G106" s="486">
        <f t="shared" si="19"/>
        <v>1439466.5</v>
      </c>
      <c r="H106" s="487">
        <f t="shared" si="21"/>
        <v>205315.52996317288</v>
      </c>
      <c r="I106" s="543">
        <f t="shared" si="22"/>
        <v>205315.52996317288</v>
      </c>
      <c r="J106" s="479">
        <f t="shared" si="16"/>
        <v>0</v>
      </c>
      <c r="K106" s="479"/>
      <c r="L106" s="488"/>
      <c r="M106" s="479">
        <f t="shared" si="12"/>
        <v>0</v>
      </c>
      <c r="N106" s="488"/>
      <c r="O106" s="479">
        <f t="shared" si="13"/>
        <v>0</v>
      </c>
      <c r="P106" s="479">
        <f t="shared" si="14"/>
        <v>0</v>
      </c>
    </row>
    <row r="107" spans="1:16" ht="12.5">
      <c r="B107" s="160" t="str">
        <f t="shared" si="15"/>
        <v/>
      </c>
      <c r="C107" s="473">
        <f>IF(D93="","-",+C106+1)</f>
        <v>2023</v>
      </c>
      <c r="D107" s="347">
        <f>IF(F106+SUM(E$99:E106)=D$92,F106,D$92-SUM(E$99:E106))</f>
        <v>1419792</v>
      </c>
      <c r="E107" s="485">
        <f t="shared" si="17"/>
        <v>39349</v>
      </c>
      <c r="F107" s="486">
        <f t="shared" si="18"/>
        <v>1380443</v>
      </c>
      <c r="G107" s="486">
        <f t="shared" si="19"/>
        <v>1400117.5</v>
      </c>
      <c r="H107" s="487">
        <f t="shared" si="21"/>
        <v>200778.6984443283</v>
      </c>
      <c r="I107" s="543">
        <f t="shared" si="22"/>
        <v>200778.6984443283</v>
      </c>
      <c r="J107" s="479">
        <f t="shared" si="16"/>
        <v>0</v>
      </c>
      <c r="K107" s="479"/>
      <c r="L107" s="488"/>
      <c r="M107" s="479">
        <f t="shared" si="12"/>
        <v>0</v>
      </c>
      <c r="N107" s="488"/>
      <c r="O107" s="479">
        <f t="shared" si="13"/>
        <v>0</v>
      </c>
      <c r="P107" s="479">
        <f t="shared" si="14"/>
        <v>0</v>
      </c>
    </row>
    <row r="108" spans="1:16" ht="12.5">
      <c r="B108" s="160" t="str">
        <f t="shared" si="15"/>
        <v/>
      </c>
      <c r="C108" s="473">
        <f>IF(D93="","-",+C107+1)</f>
        <v>2024</v>
      </c>
      <c r="D108" s="347">
        <f>IF(F107+SUM(E$99:E107)=D$92,F107,D$92-SUM(E$99:E107))</f>
        <v>1380443</v>
      </c>
      <c r="E108" s="485">
        <f t="shared" si="17"/>
        <v>39349</v>
      </c>
      <c r="F108" s="486">
        <f t="shared" si="18"/>
        <v>1341094</v>
      </c>
      <c r="G108" s="486">
        <f t="shared" si="19"/>
        <v>1360768.5</v>
      </c>
      <c r="H108" s="487">
        <f t="shared" si="21"/>
        <v>196241.86692548372</v>
      </c>
      <c r="I108" s="543">
        <f t="shared" si="22"/>
        <v>196241.86692548372</v>
      </c>
      <c r="J108" s="479">
        <f t="shared" si="16"/>
        <v>0</v>
      </c>
      <c r="K108" s="479"/>
      <c r="L108" s="488"/>
      <c r="M108" s="479">
        <f t="shared" si="12"/>
        <v>0</v>
      </c>
      <c r="N108" s="488"/>
      <c r="O108" s="479">
        <f t="shared" si="13"/>
        <v>0</v>
      </c>
      <c r="P108" s="479">
        <f t="shared" si="14"/>
        <v>0</v>
      </c>
    </row>
    <row r="109" spans="1:16" ht="12.5">
      <c r="B109" s="160" t="str">
        <f t="shared" si="15"/>
        <v/>
      </c>
      <c r="C109" s="473">
        <f>IF(D93="","-",+C108+1)</f>
        <v>2025</v>
      </c>
      <c r="D109" s="347">
        <f>IF(F108+SUM(E$99:E108)=D$92,F108,D$92-SUM(E$99:E108))</f>
        <v>1341094</v>
      </c>
      <c r="E109" s="485">
        <f t="shared" si="17"/>
        <v>39349</v>
      </c>
      <c r="F109" s="486">
        <f t="shared" si="18"/>
        <v>1301745</v>
      </c>
      <c r="G109" s="486">
        <f t="shared" si="19"/>
        <v>1321419.5</v>
      </c>
      <c r="H109" s="487">
        <f t="shared" si="21"/>
        <v>191705.03540663913</v>
      </c>
      <c r="I109" s="543">
        <f t="shared" si="22"/>
        <v>191705.03540663913</v>
      </c>
      <c r="J109" s="479">
        <f t="shared" si="16"/>
        <v>0</v>
      </c>
      <c r="K109" s="479"/>
      <c r="L109" s="488"/>
      <c r="M109" s="479">
        <f t="shared" si="12"/>
        <v>0</v>
      </c>
      <c r="N109" s="488"/>
      <c r="O109" s="479">
        <f t="shared" si="13"/>
        <v>0</v>
      </c>
      <c r="P109" s="479">
        <f t="shared" si="14"/>
        <v>0</v>
      </c>
    </row>
    <row r="110" spans="1:16" ht="12.5">
      <c r="B110" s="160" t="str">
        <f t="shared" si="15"/>
        <v/>
      </c>
      <c r="C110" s="473">
        <f>IF(D93="","-",+C109+1)</f>
        <v>2026</v>
      </c>
      <c r="D110" s="347">
        <f>IF(F109+SUM(E$99:E109)=D$92,F109,D$92-SUM(E$99:E109))</f>
        <v>1301745</v>
      </c>
      <c r="E110" s="485">
        <f t="shared" si="17"/>
        <v>39349</v>
      </c>
      <c r="F110" s="486">
        <f t="shared" si="18"/>
        <v>1262396</v>
      </c>
      <c r="G110" s="486">
        <f t="shared" si="19"/>
        <v>1282070.5</v>
      </c>
      <c r="H110" s="487">
        <f t="shared" si="21"/>
        <v>187168.20388779457</v>
      </c>
      <c r="I110" s="543">
        <f t="shared" si="22"/>
        <v>187168.20388779457</v>
      </c>
      <c r="J110" s="479">
        <f t="shared" si="16"/>
        <v>0</v>
      </c>
      <c r="K110" s="479"/>
      <c r="L110" s="488"/>
      <c r="M110" s="479">
        <f t="shared" si="12"/>
        <v>0</v>
      </c>
      <c r="N110" s="488"/>
      <c r="O110" s="479">
        <f t="shared" si="13"/>
        <v>0</v>
      </c>
      <c r="P110" s="479">
        <f t="shared" si="14"/>
        <v>0</v>
      </c>
    </row>
    <row r="111" spans="1:16" ht="12.5">
      <c r="B111" s="160" t="str">
        <f t="shared" si="15"/>
        <v/>
      </c>
      <c r="C111" s="473">
        <f>IF(D93="","-",+C110+1)</f>
        <v>2027</v>
      </c>
      <c r="D111" s="347">
        <f>IF(F110+SUM(E$99:E110)=D$92,F110,D$92-SUM(E$99:E110))</f>
        <v>1262396</v>
      </c>
      <c r="E111" s="485">
        <f t="shared" si="17"/>
        <v>39349</v>
      </c>
      <c r="F111" s="486">
        <f t="shared" si="18"/>
        <v>1223047</v>
      </c>
      <c r="G111" s="486">
        <f t="shared" si="19"/>
        <v>1242721.5</v>
      </c>
      <c r="H111" s="487">
        <f t="shared" si="21"/>
        <v>182631.37236894999</v>
      </c>
      <c r="I111" s="543">
        <f t="shared" si="22"/>
        <v>182631.37236894999</v>
      </c>
      <c r="J111" s="479">
        <f t="shared" si="16"/>
        <v>0</v>
      </c>
      <c r="K111" s="479"/>
      <c r="L111" s="488"/>
      <c r="M111" s="479">
        <f t="shared" si="12"/>
        <v>0</v>
      </c>
      <c r="N111" s="488"/>
      <c r="O111" s="479">
        <f t="shared" si="13"/>
        <v>0</v>
      </c>
      <c r="P111" s="479">
        <f t="shared" si="14"/>
        <v>0</v>
      </c>
    </row>
    <row r="112" spans="1:16" ht="12.5">
      <c r="B112" s="160" t="str">
        <f t="shared" si="15"/>
        <v/>
      </c>
      <c r="C112" s="473">
        <f>IF(D93="","-",+C111+1)</f>
        <v>2028</v>
      </c>
      <c r="D112" s="347">
        <f>IF(F111+SUM(E$99:E111)=D$92,F111,D$92-SUM(E$99:E111))</f>
        <v>1223047</v>
      </c>
      <c r="E112" s="485">
        <f t="shared" si="17"/>
        <v>39349</v>
      </c>
      <c r="F112" s="486">
        <f t="shared" si="18"/>
        <v>1183698</v>
      </c>
      <c r="G112" s="486">
        <f t="shared" si="19"/>
        <v>1203372.5</v>
      </c>
      <c r="H112" s="487">
        <f t="shared" si="21"/>
        <v>178094.5408501054</v>
      </c>
      <c r="I112" s="543">
        <f t="shared" si="22"/>
        <v>178094.5408501054</v>
      </c>
      <c r="J112" s="479">
        <f t="shared" si="16"/>
        <v>0</v>
      </c>
      <c r="K112" s="479"/>
      <c r="L112" s="488"/>
      <c r="M112" s="479">
        <f t="shared" si="12"/>
        <v>0</v>
      </c>
      <c r="N112" s="488"/>
      <c r="O112" s="479">
        <f t="shared" si="13"/>
        <v>0</v>
      </c>
      <c r="P112" s="479">
        <f t="shared" si="14"/>
        <v>0</v>
      </c>
    </row>
    <row r="113" spans="2:16" ht="12.5">
      <c r="B113" s="160" t="str">
        <f t="shared" si="15"/>
        <v/>
      </c>
      <c r="C113" s="473">
        <f>IF(D93="","-",+C112+1)</f>
        <v>2029</v>
      </c>
      <c r="D113" s="347">
        <f>IF(F112+SUM(E$99:E112)=D$92,F112,D$92-SUM(E$99:E112))</f>
        <v>1183698</v>
      </c>
      <c r="E113" s="485">
        <f t="shared" si="17"/>
        <v>39349</v>
      </c>
      <c r="F113" s="486">
        <f t="shared" si="18"/>
        <v>1144349</v>
      </c>
      <c r="G113" s="486">
        <f t="shared" si="19"/>
        <v>1164023.5</v>
      </c>
      <c r="H113" s="487">
        <f t="shared" si="21"/>
        <v>173557.70933126082</v>
      </c>
      <c r="I113" s="543">
        <f t="shared" si="22"/>
        <v>173557.70933126082</v>
      </c>
      <c r="J113" s="479">
        <f t="shared" si="16"/>
        <v>0</v>
      </c>
      <c r="K113" s="479"/>
      <c r="L113" s="488"/>
      <c r="M113" s="479">
        <f t="shared" si="12"/>
        <v>0</v>
      </c>
      <c r="N113" s="488"/>
      <c r="O113" s="479">
        <f t="shared" si="13"/>
        <v>0</v>
      </c>
      <c r="P113" s="479">
        <f t="shared" si="14"/>
        <v>0</v>
      </c>
    </row>
    <row r="114" spans="2:16" ht="12.5">
      <c r="B114" s="160" t="str">
        <f t="shared" si="15"/>
        <v/>
      </c>
      <c r="C114" s="473">
        <f>IF(D93="","-",+C113+1)</f>
        <v>2030</v>
      </c>
      <c r="D114" s="347">
        <f>IF(F113+SUM(E$99:E113)=D$92,F113,D$92-SUM(E$99:E113))</f>
        <v>1144349</v>
      </c>
      <c r="E114" s="485">
        <f t="shared" si="17"/>
        <v>39349</v>
      </c>
      <c r="F114" s="486">
        <f t="shared" si="18"/>
        <v>1105000</v>
      </c>
      <c r="G114" s="486">
        <f t="shared" si="19"/>
        <v>1124674.5</v>
      </c>
      <c r="H114" s="487">
        <f t="shared" si="21"/>
        <v>169020.87781241623</v>
      </c>
      <c r="I114" s="543">
        <f t="shared" si="22"/>
        <v>169020.87781241623</v>
      </c>
      <c r="J114" s="479">
        <f t="shared" si="16"/>
        <v>0</v>
      </c>
      <c r="K114" s="479"/>
      <c r="L114" s="488"/>
      <c r="M114" s="479">
        <f t="shared" si="12"/>
        <v>0</v>
      </c>
      <c r="N114" s="488"/>
      <c r="O114" s="479">
        <f t="shared" si="13"/>
        <v>0</v>
      </c>
      <c r="P114" s="479">
        <f t="shared" si="14"/>
        <v>0</v>
      </c>
    </row>
    <row r="115" spans="2:16" ht="12.5">
      <c r="B115" s="160" t="str">
        <f t="shared" si="15"/>
        <v/>
      </c>
      <c r="C115" s="473">
        <f>IF(D93="","-",+C114+1)</f>
        <v>2031</v>
      </c>
      <c r="D115" s="347">
        <f>IF(F114+SUM(E$99:E114)=D$92,F114,D$92-SUM(E$99:E114))</f>
        <v>1105000</v>
      </c>
      <c r="E115" s="485">
        <f t="shared" si="17"/>
        <v>39349</v>
      </c>
      <c r="F115" s="486">
        <f t="shared" si="18"/>
        <v>1065651</v>
      </c>
      <c r="G115" s="486">
        <f t="shared" si="19"/>
        <v>1085325.5</v>
      </c>
      <c r="H115" s="487">
        <f t="shared" si="21"/>
        <v>164484.04629357165</v>
      </c>
      <c r="I115" s="543">
        <f t="shared" si="22"/>
        <v>164484.04629357165</v>
      </c>
      <c r="J115" s="479">
        <f t="shared" si="16"/>
        <v>0</v>
      </c>
      <c r="K115" s="479"/>
      <c r="L115" s="488"/>
      <c r="M115" s="479">
        <f t="shared" si="12"/>
        <v>0</v>
      </c>
      <c r="N115" s="488"/>
      <c r="O115" s="479">
        <f t="shared" si="13"/>
        <v>0</v>
      </c>
      <c r="P115" s="479">
        <f t="shared" si="14"/>
        <v>0</v>
      </c>
    </row>
    <row r="116" spans="2:16" ht="12.5">
      <c r="B116" s="160" t="str">
        <f t="shared" si="15"/>
        <v/>
      </c>
      <c r="C116" s="473">
        <f>IF(D93="","-",+C115+1)</f>
        <v>2032</v>
      </c>
      <c r="D116" s="347">
        <f>IF(F115+SUM(E$99:E115)=D$92,F115,D$92-SUM(E$99:E115))</f>
        <v>1065651</v>
      </c>
      <c r="E116" s="485">
        <f t="shared" si="17"/>
        <v>39349</v>
      </c>
      <c r="F116" s="486">
        <f t="shared" si="18"/>
        <v>1026302</v>
      </c>
      <c r="G116" s="486">
        <f t="shared" si="19"/>
        <v>1045976.5</v>
      </c>
      <c r="H116" s="487">
        <f t="shared" si="21"/>
        <v>159947.21477472709</v>
      </c>
      <c r="I116" s="543">
        <f t="shared" si="22"/>
        <v>159947.21477472709</v>
      </c>
      <c r="J116" s="479">
        <f t="shared" si="16"/>
        <v>0</v>
      </c>
      <c r="K116" s="479"/>
      <c r="L116" s="488"/>
      <c r="M116" s="479">
        <f t="shared" si="12"/>
        <v>0</v>
      </c>
      <c r="N116" s="488"/>
      <c r="O116" s="479">
        <f t="shared" si="13"/>
        <v>0</v>
      </c>
      <c r="P116" s="479">
        <f t="shared" si="14"/>
        <v>0</v>
      </c>
    </row>
    <row r="117" spans="2:16" ht="12.5">
      <c r="B117" s="160" t="str">
        <f t="shared" si="15"/>
        <v/>
      </c>
      <c r="C117" s="473">
        <f>IF(D93="","-",+C116+1)</f>
        <v>2033</v>
      </c>
      <c r="D117" s="347">
        <f>IF(F116+SUM(E$99:E116)=D$92,F116,D$92-SUM(E$99:E116))</f>
        <v>1026302</v>
      </c>
      <c r="E117" s="485">
        <f t="shared" si="17"/>
        <v>39349</v>
      </c>
      <c r="F117" s="486">
        <f t="shared" si="18"/>
        <v>986953</v>
      </c>
      <c r="G117" s="486">
        <f t="shared" si="19"/>
        <v>1006627.5</v>
      </c>
      <c r="H117" s="487">
        <f t="shared" si="21"/>
        <v>155410.38325588251</v>
      </c>
      <c r="I117" s="543">
        <f t="shared" si="22"/>
        <v>155410.38325588251</v>
      </c>
      <c r="J117" s="479">
        <f t="shared" si="16"/>
        <v>0</v>
      </c>
      <c r="K117" s="479"/>
      <c r="L117" s="488"/>
      <c r="M117" s="479">
        <f t="shared" si="12"/>
        <v>0</v>
      </c>
      <c r="N117" s="488"/>
      <c r="O117" s="479">
        <f t="shared" si="13"/>
        <v>0</v>
      </c>
      <c r="P117" s="479">
        <f t="shared" si="14"/>
        <v>0</v>
      </c>
    </row>
    <row r="118" spans="2:16" ht="12.5">
      <c r="B118" s="160" t="str">
        <f t="shared" si="15"/>
        <v/>
      </c>
      <c r="C118" s="473">
        <f>IF(D93="","-",+C117+1)</f>
        <v>2034</v>
      </c>
      <c r="D118" s="347">
        <f>IF(F117+SUM(E$99:E117)=D$92,F117,D$92-SUM(E$99:E117))</f>
        <v>986953</v>
      </c>
      <c r="E118" s="485">
        <f t="shared" si="17"/>
        <v>39349</v>
      </c>
      <c r="F118" s="486">
        <f t="shared" si="18"/>
        <v>947604</v>
      </c>
      <c r="G118" s="486">
        <f t="shared" si="19"/>
        <v>967278.5</v>
      </c>
      <c r="H118" s="487">
        <f t="shared" si="21"/>
        <v>150873.55173703795</v>
      </c>
      <c r="I118" s="543">
        <f t="shared" si="22"/>
        <v>150873.55173703795</v>
      </c>
      <c r="J118" s="479">
        <f t="shared" si="16"/>
        <v>0</v>
      </c>
      <c r="K118" s="479"/>
      <c r="L118" s="488"/>
      <c r="M118" s="479">
        <f t="shared" si="12"/>
        <v>0</v>
      </c>
      <c r="N118" s="488"/>
      <c r="O118" s="479">
        <f t="shared" si="13"/>
        <v>0</v>
      </c>
      <c r="P118" s="479">
        <f t="shared" si="14"/>
        <v>0</v>
      </c>
    </row>
    <row r="119" spans="2:16" ht="12.5">
      <c r="B119" s="160" t="str">
        <f t="shared" si="15"/>
        <v/>
      </c>
      <c r="C119" s="473">
        <f>IF(D93="","-",+C118+1)</f>
        <v>2035</v>
      </c>
      <c r="D119" s="347">
        <f>IF(F118+SUM(E$99:E118)=D$92,F118,D$92-SUM(E$99:E118))</f>
        <v>947604</v>
      </c>
      <c r="E119" s="485">
        <f t="shared" si="17"/>
        <v>39349</v>
      </c>
      <c r="F119" s="486">
        <f t="shared" si="18"/>
        <v>908255</v>
      </c>
      <c r="G119" s="486">
        <f t="shared" si="19"/>
        <v>927929.5</v>
      </c>
      <c r="H119" s="487">
        <f t="shared" si="21"/>
        <v>146336.72021819337</v>
      </c>
      <c r="I119" s="543">
        <f t="shared" si="22"/>
        <v>146336.72021819337</v>
      </c>
      <c r="J119" s="479">
        <f t="shared" si="16"/>
        <v>0</v>
      </c>
      <c r="K119" s="479"/>
      <c r="L119" s="488"/>
      <c r="M119" s="479">
        <f t="shared" si="12"/>
        <v>0</v>
      </c>
      <c r="N119" s="488"/>
      <c r="O119" s="479">
        <f t="shared" si="13"/>
        <v>0</v>
      </c>
      <c r="P119" s="479">
        <f t="shared" si="14"/>
        <v>0</v>
      </c>
    </row>
    <row r="120" spans="2:16" ht="12.5">
      <c r="B120" s="160" t="str">
        <f t="shared" si="15"/>
        <v/>
      </c>
      <c r="C120" s="473">
        <f>IF(D93="","-",+C119+1)</f>
        <v>2036</v>
      </c>
      <c r="D120" s="347">
        <f>IF(F119+SUM(E$99:E119)=D$92,F119,D$92-SUM(E$99:E119))</f>
        <v>908255</v>
      </c>
      <c r="E120" s="485">
        <f t="shared" si="17"/>
        <v>39349</v>
      </c>
      <c r="F120" s="486">
        <f t="shared" si="18"/>
        <v>868906</v>
      </c>
      <c r="G120" s="486">
        <f t="shared" si="19"/>
        <v>888580.5</v>
      </c>
      <c r="H120" s="487">
        <f t="shared" si="21"/>
        <v>141799.88869934878</v>
      </c>
      <c r="I120" s="543">
        <f t="shared" si="22"/>
        <v>141799.88869934878</v>
      </c>
      <c r="J120" s="479">
        <f t="shared" si="16"/>
        <v>0</v>
      </c>
      <c r="K120" s="479"/>
      <c r="L120" s="488"/>
      <c r="M120" s="479">
        <f t="shared" si="12"/>
        <v>0</v>
      </c>
      <c r="N120" s="488"/>
      <c r="O120" s="479">
        <f t="shared" si="13"/>
        <v>0</v>
      </c>
      <c r="P120" s="479">
        <f t="shared" si="14"/>
        <v>0</v>
      </c>
    </row>
    <row r="121" spans="2:16" ht="12.5">
      <c r="B121" s="160" t="str">
        <f t="shared" si="15"/>
        <v/>
      </c>
      <c r="C121" s="473">
        <f>IF(D93="","-",+C120+1)</f>
        <v>2037</v>
      </c>
      <c r="D121" s="347">
        <f>IF(F120+SUM(E$99:E120)=D$92,F120,D$92-SUM(E$99:E120))</f>
        <v>868906</v>
      </c>
      <c r="E121" s="485">
        <f t="shared" si="17"/>
        <v>39349</v>
      </c>
      <c r="F121" s="486">
        <f t="shared" si="18"/>
        <v>829557</v>
      </c>
      <c r="G121" s="486">
        <f t="shared" si="19"/>
        <v>849231.5</v>
      </c>
      <c r="H121" s="487">
        <f t="shared" si="21"/>
        <v>137263.0571805042</v>
      </c>
      <c r="I121" s="543">
        <f t="shared" si="22"/>
        <v>137263.0571805042</v>
      </c>
      <c r="J121" s="479">
        <f t="shared" si="16"/>
        <v>0</v>
      </c>
      <c r="K121" s="479"/>
      <c r="L121" s="488"/>
      <c r="M121" s="479">
        <f t="shared" si="12"/>
        <v>0</v>
      </c>
      <c r="N121" s="488"/>
      <c r="O121" s="479">
        <f t="shared" si="13"/>
        <v>0</v>
      </c>
      <c r="P121" s="479">
        <f t="shared" si="14"/>
        <v>0</v>
      </c>
    </row>
    <row r="122" spans="2:16" ht="12.5">
      <c r="B122" s="160" t="str">
        <f t="shared" si="15"/>
        <v/>
      </c>
      <c r="C122" s="473">
        <f>IF(D93="","-",+C121+1)</f>
        <v>2038</v>
      </c>
      <c r="D122" s="347">
        <f>IF(F121+SUM(E$99:E121)=D$92,F121,D$92-SUM(E$99:E121))</f>
        <v>829557</v>
      </c>
      <c r="E122" s="485">
        <f t="shared" si="17"/>
        <v>39349</v>
      </c>
      <c r="F122" s="486">
        <f t="shared" si="18"/>
        <v>790208</v>
      </c>
      <c r="G122" s="486">
        <f t="shared" si="19"/>
        <v>809882.5</v>
      </c>
      <c r="H122" s="487">
        <f t="shared" si="21"/>
        <v>132726.22566165961</v>
      </c>
      <c r="I122" s="543">
        <f t="shared" si="22"/>
        <v>132726.22566165961</v>
      </c>
      <c r="J122" s="479">
        <f t="shared" si="16"/>
        <v>0</v>
      </c>
      <c r="K122" s="479"/>
      <c r="L122" s="488"/>
      <c r="M122" s="479">
        <f t="shared" si="12"/>
        <v>0</v>
      </c>
      <c r="N122" s="488"/>
      <c r="O122" s="479">
        <f t="shared" si="13"/>
        <v>0</v>
      </c>
      <c r="P122" s="479">
        <f t="shared" si="14"/>
        <v>0</v>
      </c>
    </row>
    <row r="123" spans="2:16" ht="12.5">
      <c r="B123" s="160" t="str">
        <f t="shared" si="15"/>
        <v/>
      </c>
      <c r="C123" s="473">
        <f>IF(D93="","-",+C122+1)</f>
        <v>2039</v>
      </c>
      <c r="D123" s="347">
        <f>IF(F122+SUM(E$99:E122)=D$92,F122,D$92-SUM(E$99:E122))</f>
        <v>790208</v>
      </c>
      <c r="E123" s="485">
        <f t="shared" si="17"/>
        <v>39349</v>
      </c>
      <c r="F123" s="486">
        <f t="shared" si="18"/>
        <v>750859</v>
      </c>
      <c r="G123" s="486">
        <f t="shared" si="19"/>
        <v>770533.5</v>
      </c>
      <c r="H123" s="487">
        <f t="shared" si="21"/>
        <v>128189.39414281504</v>
      </c>
      <c r="I123" s="543">
        <f t="shared" si="22"/>
        <v>128189.39414281504</v>
      </c>
      <c r="J123" s="479">
        <f t="shared" si="16"/>
        <v>0</v>
      </c>
      <c r="K123" s="479"/>
      <c r="L123" s="488"/>
      <c r="M123" s="479">
        <f t="shared" si="12"/>
        <v>0</v>
      </c>
      <c r="N123" s="488"/>
      <c r="O123" s="479">
        <f t="shared" si="13"/>
        <v>0</v>
      </c>
      <c r="P123" s="479">
        <f t="shared" si="14"/>
        <v>0</v>
      </c>
    </row>
    <row r="124" spans="2:16" ht="12.5">
      <c r="B124" s="160" t="str">
        <f t="shared" si="15"/>
        <v/>
      </c>
      <c r="C124" s="473">
        <f>IF(D93="","-",+C123+1)</f>
        <v>2040</v>
      </c>
      <c r="D124" s="347">
        <f>IF(F123+SUM(E$99:E123)=D$92,F123,D$92-SUM(E$99:E123))</f>
        <v>750859</v>
      </c>
      <c r="E124" s="485">
        <f t="shared" si="17"/>
        <v>39349</v>
      </c>
      <c r="F124" s="486">
        <f t="shared" si="18"/>
        <v>711510</v>
      </c>
      <c r="G124" s="486">
        <f t="shared" si="19"/>
        <v>731184.5</v>
      </c>
      <c r="H124" s="487">
        <f t="shared" si="21"/>
        <v>123652.56262397046</v>
      </c>
      <c r="I124" s="543">
        <f t="shared" si="22"/>
        <v>123652.56262397046</v>
      </c>
      <c r="J124" s="479">
        <f t="shared" si="16"/>
        <v>0</v>
      </c>
      <c r="K124" s="479"/>
      <c r="L124" s="488"/>
      <c r="M124" s="479">
        <f t="shared" si="12"/>
        <v>0</v>
      </c>
      <c r="N124" s="488"/>
      <c r="O124" s="479">
        <f t="shared" si="13"/>
        <v>0</v>
      </c>
      <c r="P124" s="479">
        <f t="shared" si="14"/>
        <v>0</v>
      </c>
    </row>
    <row r="125" spans="2:16" ht="12.5">
      <c r="B125" s="160" t="str">
        <f t="shared" si="15"/>
        <v/>
      </c>
      <c r="C125" s="473">
        <f>IF(D93="","-",+C124+1)</f>
        <v>2041</v>
      </c>
      <c r="D125" s="347">
        <f>IF(F124+SUM(E$99:E124)=D$92,F124,D$92-SUM(E$99:E124))</f>
        <v>711510</v>
      </c>
      <c r="E125" s="485">
        <f t="shared" si="17"/>
        <v>39349</v>
      </c>
      <c r="F125" s="486">
        <f t="shared" si="18"/>
        <v>672161</v>
      </c>
      <c r="G125" s="486">
        <f t="shared" si="19"/>
        <v>691835.5</v>
      </c>
      <c r="H125" s="487">
        <f t="shared" si="21"/>
        <v>119115.73110512589</v>
      </c>
      <c r="I125" s="543">
        <f t="shared" si="22"/>
        <v>119115.73110512589</v>
      </c>
      <c r="J125" s="479">
        <f t="shared" si="16"/>
        <v>0</v>
      </c>
      <c r="K125" s="479"/>
      <c r="L125" s="488"/>
      <c r="M125" s="479">
        <f t="shared" si="12"/>
        <v>0</v>
      </c>
      <c r="N125" s="488"/>
      <c r="O125" s="479">
        <f t="shared" si="13"/>
        <v>0</v>
      </c>
      <c r="P125" s="479">
        <f t="shared" si="14"/>
        <v>0</v>
      </c>
    </row>
    <row r="126" spans="2:16" ht="12.5">
      <c r="B126" s="160" t="str">
        <f t="shared" si="15"/>
        <v/>
      </c>
      <c r="C126" s="473">
        <f>IF(D93="","-",+C125+1)</f>
        <v>2042</v>
      </c>
      <c r="D126" s="347">
        <f>IF(F125+SUM(E$99:E125)=D$92,F125,D$92-SUM(E$99:E125))</f>
        <v>672161</v>
      </c>
      <c r="E126" s="485">
        <f t="shared" si="17"/>
        <v>39349</v>
      </c>
      <c r="F126" s="486">
        <f t="shared" si="18"/>
        <v>632812</v>
      </c>
      <c r="G126" s="486">
        <f t="shared" si="19"/>
        <v>652486.5</v>
      </c>
      <c r="H126" s="487">
        <f t="shared" si="21"/>
        <v>114578.8995862813</v>
      </c>
      <c r="I126" s="543">
        <f t="shared" si="22"/>
        <v>114578.8995862813</v>
      </c>
      <c r="J126" s="479">
        <f t="shared" si="16"/>
        <v>0</v>
      </c>
      <c r="K126" s="479"/>
      <c r="L126" s="488"/>
      <c r="M126" s="479">
        <f t="shared" si="12"/>
        <v>0</v>
      </c>
      <c r="N126" s="488"/>
      <c r="O126" s="479">
        <f t="shared" si="13"/>
        <v>0</v>
      </c>
      <c r="P126" s="479">
        <f t="shared" si="14"/>
        <v>0</v>
      </c>
    </row>
    <row r="127" spans="2:16" ht="12.5">
      <c r="B127" s="160" t="str">
        <f t="shared" si="15"/>
        <v/>
      </c>
      <c r="C127" s="473">
        <f>IF(D93="","-",+C126+1)</f>
        <v>2043</v>
      </c>
      <c r="D127" s="347">
        <f>IF(F126+SUM(E$99:E126)=D$92,F126,D$92-SUM(E$99:E126))</f>
        <v>632812</v>
      </c>
      <c r="E127" s="485">
        <f t="shared" si="17"/>
        <v>39349</v>
      </c>
      <c r="F127" s="486">
        <f t="shared" si="18"/>
        <v>593463</v>
      </c>
      <c r="G127" s="486">
        <f t="shared" si="19"/>
        <v>613137.5</v>
      </c>
      <c r="H127" s="487">
        <f t="shared" si="21"/>
        <v>110042.06806743673</v>
      </c>
      <c r="I127" s="543">
        <f t="shared" si="22"/>
        <v>110042.06806743673</v>
      </c>
      <c r="J127" s="479">
        <f t="shared" si="16"/>
        <v>0</v>
      </c>
      <c r="K127" s="479"/>
      <c r="L127" s="488"/>
      <c r="M127" s="479">
        <f t="shared" si="12"/>
        <v>0</v>
      </c>
      <c r="N127" s="488"/>
      <c r="O127" s="479">
        <f t="shared" si="13"/>
        <v>0</v>
      </c>
      <c r="P127" s="479">
        <f t="shared" si="14"/>
        <v>0</v>
      </c>
    </row>
    <row r="128" spans="2:16" ht="12.5">
      <c r="B128" s="160" t="str">
        <f t="shared" si="15"/>
        <v/>
      </c>
      <c r="C128" s="473">
        <f>IF(D93="","-",+C127+1)</f>
        <v>2044</v>
      </c>
      <c r="D128" s="347">
        <f>IF(F127+SUM(E$99:E127)=D$92,F127,D$92-SUM(E$99:E127))</f>
        <v>593463</v>
      </c>
      <c r="E128" s="485">
        <f t="shared" si="17"/>
        <v>39349</v>
      </c>
      <c r="F128" s="486">
        <f t="shared" si="18"/>
        <v>554114</v>
      </c>
      <c r="G128" s="486">
        <f t="shared" si="19"/>
        <v>573788.5</v>
      </c>
      <c r="H128" s="487">
        <f t="shared" si="21"/>
        <v>105505.23654859215</v>
      </c>
      <c r="I128" s="543">
        <f t="shared" si="22"/>
        <v>105505.23654859215</v>
      </c>
      <c r="J128" s="479">
        <f t="shared" si="16"/>
        <v>0</v>
      </c>
      <c r="K128" s="479"/>
      <c r="L128" s="488"/>
      <c r="M128" s="479">
        <f t="shared" si="12"/>
        <v>0</v>
      </c>
      <c r="N128" s="488"/>
      <c r="O128" s="479">
        <f t="shared" si="13"/>
        <v>0</v>
      </c>
      <c r="P128" s="479">
        <f t="shared" si="14"/>
        <v>0</v>
      </c>
    </row>
    <row r="129" spans="2:16" ht="12.5">
      <c r="B129" s="160" t="str">
        <f t="shared" si="15"/>
        <v/>
      </c>
      <c r="C129" s="473">
        <f>IF(D93="","-",+C128+1)</f>
        <v>2045</v>
      </c>
      <c r="D129" s="347">
        <f>IF(F128+SUM(E$99:E128)=D$92,F128,D$92-SUM(E$99:E128))</f>
        <v>554114</v>
      </c>
      <c r="E129" s="485">
        <f t="shared" si="17"/>
        <v>39349</v>
      </c>
      <c r="F129" s="486">
        <f t="shared" si="18"/>
        <v>514765</v>
      </c>
      <c r="G129" s="486">
        <f t="shared" si="19"/>
        <v>534439.5</v>
      </c>
      <c r="H129" s="487">
        <f t="shared" si="21"/>
        <v>100968.40502974758</v>
      </c>
      <c r="I129" s="543">
        <f t="shared" si="22"/>
        <v>100968.40502974758</v>
      </c>
      <c r="J129" s="479">
        <f t="shared" si="16"/>
        <v>0</v>
      </c>
      <c r="K129" s="479"/>
      <c r="L129" s="488"/>
      <c r="M129" s="479">
        <f t="shared" si="12"/>
        <v>0</v>
      </c>
      <c r="N129" s="488"/>
      <c r="O129" s="479">
        <f t="shared" si="13"/>
        <v>0</v>
      </c>
      <c r="P129" s="479">
        <f t="shared" si="14"/>
        <v>0</v>
      </c>
    </row>
    <row r="130" spans="2:16" ht="12.5">
      <c r="B130" s="160" t="str">
        <f t="shared" si="15"/>
        <v/>
      </c>
      <c r="C130" s="473">
        <f>IF(D93="","-",+C129+1)</f>
        <v>2046</v>
      </c>
      <c r="D130" s="347">
        <f>IF(F129+SUM(E$99:E129)=D$92,F129,D$92-SUM(E$99:E129))</f>
        <v>514765</v>
      </c>
      <c r="E130" s="485">
        <f t="shared" si="17"/>
        <v>39349</v>
      </c>
      <c r="F130" s="486">
        <f t="shared" si="18"/>
        <v>475416</v>
      </c>
      <c r="G130" s="486">
        <f t="shared" si="19"/>
        <v>495090.5</v>
      </c>
      <c r="H130" s="487">
        <f t="shared" si="21"/>
        <v>96431.573510902992</v>
      </c>
      <c r="I130" s="543">
        <f t="shared" si="22"/>
        <v>96431.573510902992</v>
      </c>
      <c r="J130" s="479">
        <f t="shared" si="16"/>
        <v>0</v>
      </c>
      <c r="K130" s="479"/>
      <c r="L130" s="488"/>
      <c r="M130" s="479">
        <f t="shared" si="12"/>
        <v>0</v>
      </c>
      <c r="N130" s="488"/>
      <c r="O130" s="479">
        <f t="shared" si="13"/>
        <v>0</v>
      </c>
      <c r="P130" s="479">
        <f t="shared" si="14"/>
        <v>0</v>
      </c>
    </row>
    <row r="131" spans="2:16" ht="12.5">
      <c r="B131" s="160" t="str">
        <f t="shared" si="15"/>
        <v/>
      </c>
      <c r="C131" s="473">
        <f>IF(D93="","-",+C130+1)</f>
        <v>2047</v>
      </c>
      <c r="D131" s="347">
        <f>IF(F130+SUM(E$99:E130)=D$92,F130,D$92-SUM(E$99:E130))</f>
        <v>475416</v>
      </c>
      <c r="E131" s="485">
        <f t="shared" si="17"/>
        <v>39349</v>
      </c>
      <c r="F131" s="486">
        <f t="shared" si="18"/>
        <v>436067</v>
      </c>
      <c r="G131" s="486">
        <f t="shared" si="19"/>
        <v>455741.5</v>
      </c>
      <c r="H131" s="487">
        <f t="shared" si="21"/>
        <v>91894.741992058407</v>
      </c>
      <c r="I131" s="543">
        <f t="shared" si="22"/>
        <v>91894.741992058407</v>
      </c>
      <c r="J131" s="479">
        <f t="shared" si="16"/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5"/>
        <v/>
      </c>
      <c r="C132" s="473">
        <f>IF(D93="","-",+C131+1)</f>
        <v>2048</v>
      </c>
      <c r="D132" s="347">
        <f>IF(F131+SUM(E$99:E131)=D$92,F131,D$92-SUM(E$99:E131))</f>
        <v>436067</v>
      </c>
      <c r="E132" s="485">
        <f t="shared" si="17"/>
        <v>39349</v>
      </c>
      <c r="F132" s="486">
        <f t="shared" si="18"/>
        <v>396718</v>
      </c>
      <c r="G132" s="486">
        <f t="shared" si="19"/>
        <v>416392.5</v>
      </c>
      <c r="H132" s="487">
        <f t="shared" si="21"/>
        <v>87357.910473213837</v>
      </c>
      <c r="I132" s="543">
        <f t="shared" si="22"/>
        <v>87357.910473213837</v>
      </c>
      <c r="J132" s="479">
        <f t="shared" si="16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5"/>
        <v/>
      </c>
      <c r="C133" s="473">
        <f>IF(D93="","-",+C132+1)</f>
        <v>2049</v>
      </c>
      <c r="D133" s="347">
        <f>IF(F132+SUM(E$99:E132)=D$92,F132,D$92-SUM(E$99:E132))</f>
        <v>396718</v>
      </c>
      <c r="E133" s="485">
        <f t="shared" si="17"/>
        <v>39349</v>
      </c>
      <c r="F133" s="486">
        <f t="shared" si="18"/>
        <v>357369</v>
      </c>
      <c r="G133" s="486">
        <f t="shared" si="19"/>
        <v>377043.5</v>
      </c>
      <c r="H133" s="487">
        <f t="shared" si="21"/>
        <v>82821.078954369252</v>
      </c>
      <c r="I133" s="543">
        <f t="shared" si="22"/>
        <v>82821.078954369252</v>
      </c>
      <c r="J133" s="479">
        <f t="shared" si="16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5"/>
        <v/>
      </c>
      <c r="C134" s="473">
        <f>IF(D93="","-",+C133+1)</f>
        <v>2050</v>
      </c>
      <c r="D134" s="347">
        <f>IF(F133+SUM(E$99:E133)=D$92,F133,D$92-SUM(E$99:E133))</f>
        <v>357369</v>
      </c>
      <c r="E134" s="485">
        <f t="shared" si="17"/>
        <v>39349</v>
      </c>
      <c r="F134" s="486">
        <f t="shared" si="18"/>
        <v>318020</v>
      </c>
      <c r="G134" s="486">
        <f t="shared" si="19"/>
        <v>337694.5</v>
      </c>
      <c r="H134" s="487">
        <f t="shared" si="21"/>
        <v>78284.247435524681</v>
      </c>
      <c r="I134" s="543">
        <f t="shared" si="22"/>
        <v>78284.247435524681</v>
      </c>
      <c r="J134" s="479">
        <f t="shared" si="16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5"/>
        <v/>
      </c>
      <c r="C135" s="473">
        <f>IF(D93="","-",+C134+1)</f>
        <v>2051</v>
      </c>
      <c r="D135" s="347">
        <f>IF(F134+SUM(E$99:E134)=D$92,F134,D$92-SUM(E$99:E134))</f>
        <v>318020</v>
      </c>
      <c r="E135" s="485">
        <f t="shared" si="17"/>
        <v>39349</v>
      </c>
      <c r="F135" s="486">
        <f t="shared" si="18"/>
        <v>278671</v>
      </c>
      <c r="G135" s="486">
        <f t="shared" si="19"/>
        <v>298345.5</v>
      </c>
      <c r="H135" s="487">
        <f t="shared" si="21"/>
        <v>73747.415916680096</v>
      </c>
      <c r="I135" s="543">
        <f t="shared" si="22"/>
        <v>73747.415916680096</v>
      </c>
      <c r="J135" s="479">
        <f t="shared" si="16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5"/>
        <v/>
      </c>
      <c r="C136" s="473">
        <f>IF(D93="","-",+C135+1)</f>
        <v>2052</v>
      </c>
      <c r="D136" s="347">
        <f>IF(F135+SUM(E$99:E135)=D$92,F135,D$92-SUM(E$99:E135))</f>
        <v>278671</v>
      </c>
      <c r="E136" s="485">
        <f t="shared" si="17"/>
        <v>39349</v>
      </c>
      <c r="F136" s="486">
        <f t="shared" si="18"/>
        <v>239322</v>
      </c>
      <c r="G136" s="486">
        <f t="shared" si="19"/>
        <v>258996.5</v>
      </c>
      <c r="H136" s="487">
        <f t="shared" si="21"/>
        <v>69210.584397835511</v>
      </c>
      <c r="I136" s="543">
        <f t="shared" si="22"/>
        <v>69210.584397835511</v>
      </c>
      <c r="J136" s="479">
        <f t="shared" si="16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5"/>
        <v/>
      </c>
      <c r="C137" s="473">
        <f>IF(D93="","-",+C136+1)</f>
        <v>2053</v>
      </c>
      <c r="D137" s="347">
        <f>IF(F136+SUM(E$99:E136)=D$92,F136,D$92-SUM(E$99:E136))</f>
        <v>239322</v>
      </c>
      <c r="E137" s="485">
        <f t="shared" si="17"/>
        <v>39349</v>
      </c>
      <c r="F137" s="486">
        <f t="shared" si="18"/>
        <v>199973</v>
      </c>
      <c r="G137" s="486">
        <f t="shared" si="19"/>
        <v>219647.5</v>
      </c>
      <c r="H137" s="487">
        <f t="shared" si="21"/>
        <v>64673.752878990941</v>
      </c>
      <c r="I137" s="543">
        <f t="shared" si="22"/>
        <v>64673.752878990941</v>
      </c>
      <c r="J137" s="479">
        <f t="shared" si="16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5"/>
        <v/>
      </c>
      <c r="C138" s="473">
        <f>IF(D93="","-",+C137+1)</f>
        <v>2054</v>
      </c>
      <c r="D138" s="347">
        <f>IF(F137+SUM(E$99:E137)=D$92,F137,D$92-SUM(E$99:E137))</f>
        <v>199973</v>
      </c>
      <c r="E138" s="485">
        <f t="shared" si="17"/>
        <v>39349</v>
      </c>
      <c r="F138" s="486">
        <f t="shared" si="18"/>
        <v>160624</v>
      </c>
      <c r="G138" s="486">
        <f t="shared" si="19"/>
        <v>180298.5</v>
      </c>
      <c r="H138" s="487">
        <f t="shared" si="21"/>
        <v>60136.921360146363</v>
      </c>
      <c r="I138" s="543">
        <f t="shared" si="22"/>
        <v>60136.921360146363</v>
      </c>
      <c r="J138" s="479">
        <f t="shared" si="16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5"/>
        <v/>
      </c>
      <c r="C139" s="473">
        <f>IF(D93="","-",+C138+1)</f>
        <v>2055</v>
      </c>
      <c r="D139" s="347">
        <f>IF(F138+SUM(E$99:E138)=D$92,F138,D$92-SUM(E$99:E138))</f>
        <v>160624</v>
      </c>
      <c r="E139" s="485">
        <f t="shared" si="17"/>
        <v>39349</v>
      </c>
      <c r="F139" s="486">
        <f t="shared" si="18"/>
        <v>121275</v>
      </c>
      <c r="G139" s="486">
        <f t="shared" si="19"/>
        <v>140949.5</v>
      </c>
      <c r="H139" s="487">
        <f t="shared" si="21"/>
        <v>55600.089841301786</v>
      </c>
      <c r="I139" s="543">
        <f t="shared" si="22"/>
        <v>55600.089841301786</v>
      </c>
      <c r="J139" s="479">
        <f t="shared" si="16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5"/>
        <v/>
      </c>
      <c r="C140" s="473">
        <f>IF(D93="","-",+C139+1)</f>
        <v>2056</v>
      </c>
      <c r="D140" s="347">
        <f>IF(F139+SUM(E$99:E139)=D$92,F139,D$92-SUM(E$99:E139))</f>
        <v>121275</v>
      </c>
      <c r="E140" s="485">
        <f t="shared" si="17"/>
        <v>39349</v>
      </c>
      <c r="F140" s="486">
        <f t="shared" si="18"/>
        <v>81926</v>
      </c>
      <c r="G140" s="486">
        <f t="shared" si="19"/>
        <v>101600.5</v>
      </c>
      <c r="H140" s="487">
        <f t="shared" si="21"/>
        <v>51063.258322457208</v>
      </c>
      <c r="I140" s="543">
        <f t="shared" si="22"/>
        <v>51063.258322457208</v>
      </c>
      <c r="J140" s="479">
        <f t="shared" si="16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5"/>
        <v/>
      </c>
      <c r="C141" s="473">
        <f>IF(D93="","-",+C140+1)</f>
        <v>2057</v>
      </c>
      <c r="D141" s="347">
        <f>IF(F140+SUM(E$99:E140)=D$92,F140,D$92-SUM(E$99:E140))</f>
        <v>81926</v>
      </c>
      <c r="E141" s="485">
        <f t="shared" si="17"/>
        <v>39349</v>
      </c>
      <c r="F141" s="486">
        <f t="shared" si="18"/>
        <v>42577</v>
      </c>
      <c r="G141" s="486">
        <f t="shared" si="19"/>
        <v>62251.5</v>
      </c>
      <c r="H141" s="487">
        <f t="shared" si="21"/>
        <v>46526.42680361263</v>
      </c>
      <c r="I141" s="543">
        <f t="shared" si="22"/>
        <v>46526.42680361263</v>
      </c>
      <c r="J141" s="479">
        <f t="shared" si="16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5"/>
        <v/>
      </c>
      <c r="C142" s="473">
        <f>IF(D93="","-",+C141+1)</f>
        <v>2058</v>
      </c>
      <c r="D142" s="347">
        <f>IF(F141+SUM(E$99:E141)=D$92,F141,D$92-SUM(E$99:E141))</f>
        <v>42577</v>
      </c>
      <c r="E142" s="485">
        <f t="shared" si="17"/>
        <v>39349</v>
      </c>
      <c r="F142" s="486">
        <f t="shared" si="18"/>
        <v>3228</v>
      </c>
      <c r="G142" s="486">
        <f t="shared" si="19"/>
        <v>22902.5</v>
      </c>
      <c r="H142" s="487">
        <f t="shared" si="21"/>
        <v>41989.595284768046</v>
      </c>
      <c r="I142" s="543">
        <f t="shared" si="22"/>
        <v>41989.595284768046</v>
      </c>
      <c r="J142" s="479">
        <f t="shared" si="16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5"/>
        <v/>
      </c>
      <c r="C143" s="473">
        <f>IF(D93="","-",+C142+1)</f>
        <v>2059</v>
      </c>
      <c r="D143" s="347">
        <f>IF(F142+SUM(E$99:E142)=D$92,F142,D$92-SUM(E$99:E142))</f>
        <v>3228</v>
      </c>
      <c r="E143" s="485">
        <f t="shared" si="17"/>
        <v>3228</v>
      </c>
      <c r="F143" s="486">
        <f t="shared" si="18"/>
        <v>0</v>
      </c>
      <c r="G143" s="486">
        <f t="shared" si="19"/>
        <v>1614</v>
      </c>
      <c r="H143" s="487">
        <f t="shared" si="21"/>
        <v>3414.0897626728797</v>
      </c>
      <c r="I143" s="543">
        <f t="shared" si="22"/>
        <v>3414.0897626728797</v>
      </c>
      <c r="J143" s="479">
        <f t="shared" si="16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5"/>
        <v/>
      </c>
      <c r="C144" s="473">
        <f>IF(D93="","-",+C143+1)</f>
        <v>2060</v>
      </c>
      <c r="D144" s="347">
        <f>IF(F143+SUM(E$99:E143)=D$92,F143,D$92-SUM(E$99:E143))</f>
        <v>0</v>
      </c>
      <c r="E144" s="485">
        <f t="shared" si="17"/>
        <v>0</v>
      </c>
      <c r="F144" s="486">
        <f t="shared" si="18"/>
        <v>0</v>
      </c>
      <c r="G144" s="486">
        <f t="shared" si="19"/>
        <v>0</v>
      </c>
      <c r="H144" s="487">
        <f t="shared" si="21"/>
        <v>0</v>
      </c>
      <c r="I144" s="543">
        <f t="shared" si="22"/>
        <v>0</v>
      </c>
      <c r="J144" s="479">
        <f t="shared" si="16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5"/>
        <v/>
      </c>
      <c r="C145" s="473">
        <f>IF(D93="","-",+C144+1)</f>
        <v>2061</v>
      </c>
      <c r="D145" s="347">
        <f>IF(F144+SUM(E$99:E144)=D$92,F144,D$92-SUM(E$99:E144))</f>
        <v>0</v>
      </c>
      <c r="E145" s="485">
        <f t="shared" si="17"/>
        <v>0</v>
      </c>
      <c r="F145" s="486">
        <f t="shared" si="18"/>
        <v>0</v>
      </c>
      <c r="G145" s="486">
        <f t="shared" si="19"/>
        <v>0</v>
      </c>
      <c r="H145" s="487">
        <f t="shared" si="21"/>
        <v>0</v>
      </c>
      <c r="I145" s="543">
        <f t="shared" si="22"/>
        <v>0</v>
      </c>
      <c r="J145" s="479">
        <f t="shared" si="16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5"/>
        <v/>
      </c>
      <c r="C146" s="473">
        <f>IF(D93="","-",+C145+1)</f>
        <v>2062</v>
      </c>
      <c r="D146" s="347">
        <f>IF(F145+SUM(E$99:E145)=D$92,F145,D$92-SUM(E$99:E145))</f>
        <v>0</v>
      </c>
      <c r="E146" s="485">
        <f t="shared" si="17"/>
        <v>0</v>
      </c>
      <c r="F146" s="486">
        <f t="shared" si="18"/>
        <v>0</v>
      </c>
      <c r="G146" s="486">
        <f t="shared" si="19"/>
        <v>0</v>
      </c>
      <c r="H146" s="487">
        <f t="shared" si="21"/>
        <v>0</v>
      </c>
      <c r="I146" s="543">
        <f t="shared" si="22"/>
        <v>0</v>
      </c>
      <c r="J146" s="479">
        <f t="shared" si="16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5"/>
        <v/>
      </c>
      <c r="C147" s="473">
        <f>IF(D93="","-",+C146+1)</f>
        <v>2063</v>
      </c>
      <c r="D147" s="347">
        <f>IF(F146+SUM(E$99:E146)=D$92,F146,D$92-SUM(E$99:E146))</f>
        <v>0</v>
      </c>
      <c r="E147" s="485">
        <f t="shared" si="17"/>
        <v>0</v>
      </c>
      <c r="F147" s="486">
        <f t="shared" si="18"/>
        <v>0</v>
      </c>
      <c r="G147" s="486">
        <f t="shared" si="19"/>
        <v>0</v>
      </c>
      <c r="H147" s="487">
        <f t="shared" si="21"/>
        <v>0</v>
      </c>
      <c r="I147" s="543">
        <f t="shared" si="22"/>
        <v>0</v>
      </c>
      <c r="J147" s="479">
        <f t="shared" si="16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5"/>
        <v/>
      </c>
      <c r="C148" s="473">
        <f>IF(D93="","-",+C147+1)</f>
        <v>2064</v>
      </c>
      <c r="D148" s="347">
        <f>IF(F147+SUM(E$99:E147)=D$92,F147,D$92-SUM(E$99:E147))</f>
        <v>0</v>
      </c>
      <c r="E148" s="485">
        <f t="shared" si="17"/>
        <v>0</v>
      </c>
      <c r="F148" s="486">
        <f t="shared" si="18"/>
        <v>0</v>
      </c>
      <c r="G148" s="486">
        <f t="shared" si="19"/>
        <v>0</v>
      </c>
      <c r="H148" s="487">
        <f t="shared" si="21"/>
        <v>0</v>
      </c>
      <c r="I148" s="543">
        <f t="shared" si="22"/>
        <v>0</v>
      </c>
      <c r="J148" s="479">
        <f t="shared" si="16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5"/>
        <v/>
      </c>
      <c r="C149" s="473">
        <f>IF(D93="","-",+C148+1)</f>
        <v>2065</v>
      </c>
      <c r="D149" s="347">
        <f>IF(F148+SUM(E$99:E148)=D$92,F148,D$92-SUM(E$99:E148))</f>
        <v>0</v>
      </c>
      <c r="E149" s="485">
        <f t="shared" si="17"/>
        <v>0</v>
      </c>
      <c r="F149" s="486">
        <f t="shared" si="18"/>
        <v>0</v>
      </c>
      <c r="G149" s="486">
        <f t="shared" si="19"/>
        <v>0</v>
      </c>
      <c r="H149" s="487">
        <f t="shared" si="21"/>
        <v>0</v>
      </c>
      <c r="I149" s="543">
        <f t="shared" si="22"/>
        <v>0</v>
      </c>
      <c r="J149" s="479">
        <f t="shared" si="16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5"/>
        <v/>
      </c>
      <c r="C150" s="473">
        <f>IF(D93="","-",+C149+1)</f>
        <v>2066</v>
      </c>
      <c r="D150" s="347">
        <f>IF(F149+SUM(E$99:E149)=D$92,F149,D$92-SUM(E$99:E149))</f>
        <v>0</v>
      </c>
      <c r="E150" s="485">
        <f t="shared" si="17"/>
        <v>0</v>
      </c>
      <c r="F150" s="486">
        <f t="shared" si="18"/>
        <v>0</v>
      </c>
      <c r="G150" s="486">
        <f t="shared" si="19"/>
        <v>0</v>
      </c>
      <c r="H150" s="487">
        <f t="shared" si="21"/>
        <v>0</v>
      </c>
      <c r="I150" s="543">
        <f t="shared" si="22"/>
        <v>0</v>
      </c>
      <c r="J150" s="479">
        <f t="shared" si="16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5"/>
        <v/>
      </c>
      <c r="C151" s="473">
        <f>IF(D93="","-",+C150+1)</f>
        <v>2067</v>
      </c>
      <c r="D151" s="347">
        <f>IF(F150+SUM(E$99:E150)=D$92,F150,D$92-SUM(E$99:E150))</f>
        <v>0</v>
      </c>
      <c r="E151" s="485">
        <f t="shared" si="17"/>
        <v>0</v>
      </c>
      <c r="F151" s="486">
        <f t="shared" si="18"/>
        <v>0</v>
      </c>
      <c r="G151" s="486">
        <f t="shared" si="19"/>
        <v>0</v>
      </c>
      <c r="H151" s="487">
        <f t="shared" si="21"/>
        <v>0</v>
      </c>
      <c r="I151" s="543">
        <f t="shared" si="22"/>
        <v>0</v>
      </c>
      <c r="J151" s="479">
        <f t="shared" si="16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5"/>
        <v/>
      </c>
      <c r="C152" s="473">
        <f>IF(D93="","-",+C151+1)</f>
        <v>2068</v>
      </c>
      <c r="D152" s="347">
        <f>IF(F151+SUM(E$99:E151)=D$92,F151,D$92-SUM(E$99:E151))</f>
        <v>0</v>
      </c>
      <c r="E152" s="485">
        <f t="shared" si="17"/>
        <v>0</v>
      </c>
      <c r="F152" s="486">
        <f t="shared" si="18"/>
        <v>0</v>
      </c>
      <c r="G152" s="486">
        <f t="shared" si="19"/>
        <v>0</v>
      </c>
      <c r="H152" s="487">
        <f t="shared" si="21"/>
        <v>0</v>
      </c>
      <c r="I152" s="543">
        <f t="shared" si="22"/>
        <v>0</v>
      </c>
      <c r="J152" s="479">
        <f t="shared" si="16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5"/>
        <v/>
      </c>
      <c r="C153" s="473">
        <f>IF(D93="","-",+C152+1)</f>
        <v>2069</v>
      </c>
      <c r="D153" s="347">
        <f>IF(F152+SUM(E$99:E152)=D$92,F152,D$92-SUM(E$99:E152))</f>
        <v>0</v>
      </c>
      <c r="E153" s="485">
        <f t="shared" si="17"/>
        <v>0</v>
      </c>
      <c r="F153" s="486">
        <f t="shared" si="18"/>
        <v>0</v>
      </c>
      <c r="G153" s="486">
        <f t="shared" si="19"/>
        <v>0</v>
      </c>
      <c r="H153" s="487">
        <f t="shared" si="21"/>
        <v>0</v>
      </c>
      <c r="I153" s="543">
        <f t="shared" si="22"/>
        <v>0</v>
      </c>
      <c r="J153" s="479">
        <f t="shared" si="16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5"/>
        <v/>
      </c>
      <c r="C154" s="490">
        <f>IF(D93="","-",+C153+1)</f>
        <v>2070</v>
      </c>
      <c r="D154" s="577">
        <f>IF(F153+SUM(E$99:E153)=D$92,F153,D$92-SUM(E$99:E153))</f>
        <v>0</v>
      </c>
      <c r="E154" s="492">
        <f t="shared" si="17"/>
        <v>0</v>
      </c>
      <c r="F154" s="491">
        <f t="shared" si="18"/>
        <v>0</v>
      </c>
      <c r="G154" s="491">
        <f t="shared" si="19"/>
        <v>0</v>
      </c>
      <c r="H154" s="493">
        <f t="shared" ref="H154" si="26">+J$94*G154+E154</f>
        <v>0</v>
      </c>
      <c r="I154" s="546">
        <f t="shared" si="20"/>
        <v>0</v>
      </c>
      <c r="J154" s="496">
        <f t="shared" si="16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1692023</v>
      </c>
      <c r="F155" s="348"/>
      <c r="G155" s="348"/>
      <c r="H155" s="348">
        <f>SUM(H99:H154)</f>
        <v>6016211.322350299</v>
      </c>
      <c r="I155" s="348">
        <f>SUM(I99:I154)</f>
        <v>6016211.322350299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-0.249977111117893"/>
  </sheetPr>
  <dimension ref="A1:P162"/>
  <sheetViews>
    <sheetView view="pageBreakPreview" topLeftCell="A61" zoomScale="80" zoomScaleNormal="100" zoomScaleSheetLayoutView="80" workbookViewId="0">
      <selection activeCell="D99" sqref="D99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18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203353.13199328393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203353.13199328393</v>
      </c>
      <c r="O6" s="233"/>
      <c r="P6" s="233"/>
    </row>
    <row r="7" spans="1:16" ht="13.5" thickBot="1">
      <c r="C7" s="432" t="s">
        <v>46</v>
      </c>
      <c r="D7" s="600" t="s">
        <v>266</v>
      </c>
      <c r="E7" s="601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611" t="s">
        <v>269</v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273</v>
      </c>
      <c r="E9" s="578" t="s">
        <v>262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1725646.85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2014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4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40131.322093023256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2014</v>
      </c>
      <c r="D17" s="579">
        <v>1725646.85</v>
      </c>
      <c r="E17" s="602">
        <v>22123.677564102563</v>
      </c>
      <c r="F17" s="579">
        <v>1703523.1724358976</v>
      </c>
      <c r="G17" s="602">
        <v>256628.57821434946</v>
      </c>
      <c r="H17" s="603">
        <v>256628.57821434946</v>
      </c>
      <c r="I17" s="476">
        <v>0</v>
      </c>
      <c r="J17" s="476"/>
      <c r="K17" s="477">
        <f t="shared" ref="K17:K22" si="0">G17</f>
        <v>256628.57821434946</v>
      </c>
      <c r="L17" s="604">
        <f t="shared" ref="L17:L22" si="1">IF(K17&lt;&gt;0,+G17-K17,0)</f>
        <v>0</v>
      </c>
      <c r="M17" s="477">
        <f t="shared" ref="M17:M22" si="2">H17</f>
        <v>256628.57821434946</v>
      </c>
      <c r="N17" s="479">
        <f>IF(M17&lt;&gt;0,+H17-M17,0)</f>
        <v>0</v>
      </c>
      <c r="O17" s="476">
        <f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2015</v>
      </c>
      <c r="D18" s="579">
        <v>1703523.1724358976</v>
      </c>
      <c r="E18" s="580">
        <v>33185.516346153847</v>
      </c>
      <c r="F18" s="579">
        <v>1670337.6560897438</v>
      </c>
      <c r="G18" s="580">
        <v>263477.7363505594</v>
      </c>
      <c r="H18" s="603">
        <v>263477.7363505594</v>
      </c>
      <c r="I18" s="476">
        <v>0</v>
      </c>
      <c r="J18" s="476"/>
      <c r="K18" s="477">
        <f t="shared" si="0"/>
        <v>263477.7363505594</v>
      </c>
      <c r="L18" s="604">
        <f t="shared" si="1"/>
        <v>0</v>
      </c>
      <c r="M18" s="477">
        <f t="shared" si="2"/>
        <v>263477.7363505594</v>
      </c>
      <c r="N18" s="479">
        <f>IF(M18&lt;&gt;0,+H18-M18,0)</f>
        <v>0</v>
      </c>
      <c r="O18" s="476">
        <f>+N18-L18</f>
        <v>0</v>
      </c>
      <c r="P18" s="243"/>
    </row>
    <row r="19" spans="2:16" ht="12.5">
      <c r="B19" s="160" t="str">
        <f>IF(D19=F18,"","IU")</f>
        <v/>
      </c>
      <c r="C19" s="473">
        <f>IF(D11="","-",+C18+1)</f>
        <v>2016</v>
      </c>
      <c r="D19" s="579">
        <v>1670337.6560897438</v>
      </c>
      <c r="E19" s="580">
        <v>33185.516346153847</v>
      </c>
      <c r="F19" s="579">
        <v>1637152.13974359</v>
      </c>
      <c r="G19" s="580">
        <v>247913.51634615386</v>
      </c>
      <c r="H19" s="603">
        <v>247913.51634615386</v>
      </c>
      <c r="I19" s="476">
        <f>H19-G19</f>
        <v>0</v>
      </c>
      <c r="J19" s="476"/>
      <c r="K19" s="477">
        <f t="shared" si="0"/>
        <v>247913.51634615386</v>
      </c>
      <c r="L19" s="604">
        <f t="shared" si="1"/>
        <v>0</v>
      </c>
      <c r="M19" s="477">
        <f t="shared" si="2"/>
        <v>247913.51634615386</v>
      </c>
      <c r="N19" s="479">
        <f>IF(M19&lt;&gt;0,+H19-M19,0)</f>
        <v>0</v>
      </c>
      <c r="O19" s="476">
        <f>+N19-L19</f>
        <v>0</v>
      </c>
      <c r="P19" s="243"/>
    </row>
    <row r="20" spans="2:16" ht="12.5">
      <c r="B20" s="160" t="str">
        <f t="shared" ref="B20:B72" si="3">IF(D20=F19,"","IU")</f>
        <v>IU</v>
      </c>
      <c r="C20" s="473">
        <f>IF(D11="","-",+C19+1)</f>
        <v>2017</v>
      </c>
      <c r="D20" s="579">
        <v>1637152</v>
      </c>
      <c r="E20" s="580">
        <v>37514</v>
      </c>
      <c r="F20" s="579">
        <v>1599638</v>
      </c>
      <c r="G20" s="580">
        <v>241085</v>
      </c>
      <c r="H20" s="603">
        <v>241085</v>
      </c>
      <c r="I20" s="476">
        <f t="shared" ref="I20:I72" si="4">H20-G20</f>
        <v>0</v>
      </c>
      <c r="J20" s="476"/>
      <c r="K20" s="477">
        <f t="shared" si="0"/>
        <v>241085</v>
      </c>
      <c r="L20" s="604">
        <f t="shared" si="1"/>
        <v>0</v>
      </c>
      <c r="M20" s="477">
        <f t="shared" si="2"/>
        <v>241085</v>
      </c>
      <c r="N20" s="479">
        <f>IF(M20&lt;&gt;0,+H20-M20,0)</f>
        <v>0</v>
      </c>
      <c r="O20" s="476">
        <f>+N20-L20</f>
        <v>0</v>
      </c>
      <c r="P20" s="243"/>
    </row>
    <row r="21" spans="2:16" ht="12.5">
      <c r="B21" s="160" t="str">
        <f t="shared" si="3"/>
        <v>IU</v>
      </c>
      <c r="C21" s="473">
        <f>IF(D11="","-",+C20+1)</f>
        <v>2018</v>
      </c>
      <c r="D21" s="579">
        <v>1599638.0777870682</v>
      </c>
      <c r="E21" s="580">
        <v>38347.707777777781</v>
      </c>
      <c r="F21" s="579">
        <v>1561290.3700092905</v>
      </c>
      <c r="G21" s="580">
        <v>249645.70777777777</v>
      </c>
      <c r="H21" s="603">
        <v>249645.70777777777</v>
      </c>
      <c r="I21" s="476">
        <f t="shared" si="4"/>
        <v>0</v>
      </c>
      <c r="J21" s="476"/>
      <c r="K21" s="477">
        <f t="shared" si="0"/>
        <v>249645.70777777777</v>
      </c>
      <c r="L21" s="604">
        <f t="shared" si="1"/>
        <v>0</v>
      </c>
      <c r="M21" s="477">
        <f t="shared" si="2"/>
        <v>249645.70777777777</v>
      </c>
      <c r="N21" s="479">
        <f>IF(M21&lt;&gt;0,+H21-M21,0)</f>
        <v>0</v>
      </c>
      <c r="O21" s="476">
        <f>+N21-L21</f>
        <v>0</v>
      </c>
      <c r="P21" s="243"/>
    </row>
    <row r="22" spans="2:16" ht="12.5">
      <c r="B22" s="160" t="str">
        <f t="shared" si="3"/>
        <v>IU</v>
      </c>
      <c r="C22" s="473">
        <f>IF(D11="","-",+C21+1)</f>
        <v>2019</v>
      </c>
      <c r="D22" s="579">
        <v>1561290.4319658121</v>
      </c>
      <c r="E22" s="580">
        <v>38347.707777777781</v>
      </c>
      <c r="F22" s="579">
        <v>1522942.7241880344</v>
      </c>
      <c r="G22" s="580">
        <v>244455.70777777777</v>
      </c>
      <c r="H22" s="603">
        <v>244455.70777777777</v>
      </c>
      <c r="I22" s="476">
        <f t="shared" si="4"/>
        <v>0</v>
      </c>
      <c r="J22" s="476"/>
      <c r="K22" s="477">
        <f t="shared" si="0"/>
        <v>244455.70777777777</v>
      </c>
      <c r="L22" s="604">
        <f t="shared" si="1"/>
        <v>0</v>
      </c>
      <c r="M22" s="477">
        <f t="shared" si="2"/>
        <v>244455.70777777777</v>
      </c>
      <c r="N22" s="479">
        <f t="shared" ref="N22:N72" si="5">IF(M22&lt;&gt;0,+H22-M22,0)</f>
        <v>0</v>
      </c>
      <c r="O22" s="479">
        <f t="shared" ref="O22:O72" si="6">+N22-L22</f>
        <v>0</v>
      </c>
      <c r="P22" s="243"/>
    </row>
    <row r="23" spans="2:16" ht="12.5">
      <c r="B23" s="160" t="str">
        <f t="shared" si="3"/>
        <v/>
      </c>
      <c r="C23" s="473">
        <f>IF(D11="","-",+C22+1)</f>
        <v>2020</v>
      </c>
      <c r="D23" s="579">
        <v>1522942.7241880344</v>
      </c>
      <c r="E23" s="580">
        <v>41086.829761904766</v>
      </c>
      <c r="F23" s="579">
        <v>1481855.8944261298</v>
      </c>
      <c r="G23" s="580">
        <v>203353.13199328393</v>
      </c>
      <c r="H23" s="603">
        <v>203353.13199328393</v>
      </c>
      <c r="I23" s="476">
        <f t="shared" si="4"/>
        <v>0</v>
      </c>
      <c r="J23" s="476"/>
      <c r="K23" s="477">
        <f t="shared" ref="K23" si="7">G23</f>
        <v>203353.13199328393</v>
      </c>
      <c r="L23" s="604">
        <f t="shared" ref="L23" si="8">IF(K23&lt;&gt;0,+G23-K23,0)</f>
        <v>0</v>
      </c>
      <c r="M23" s="477">
        <f t="shared" ref="M23" si="9">H23</f>
        <v>203353.13199328393</v>
      </c>
      <c r="N23" s="479">
        <f t="shared" si="5"/>
        <v>0</v>
      </c>
      <c r="O23" s="479">
        <f t="shared" si="6"/>
        <v>0</v>
      </c>
      <c r="P23" s="243"/>
    </row>
    <row r="24" spans="2:16" ht="12.5">
      <c r="B24" s="160" t="str">
        <f t="shared" si="3"/>
        <v/>
      </c>
      <c r="C24" s="473">
        <f>IF(D11="","-",+C23+1)</f>
        <v>2021</v>
      </c>
      <c r="D24" s="486">
        <f>IF(F23+SUM(E$17:E23)=D$10,F23,D$10-SUM(E$17:E23))</f>
        <v>1481855.8944261298</v>
      </c>
      <c r="E24" s="485">
        <f t="shared" ref="E24:E72" si="10">IF(+$I$14&lt;F23,$I$14,D24)</f>
        <v>40131.322093023256</v>
      </c>
      <c r="F24" s="486">
        <f t="shared" ref="F24:F72" si="11">+D24-E24</f>
        <v>1441724.5723331065</v>
      </c>
      <c r="G24" s="487">
        <f t="shared" ref="G24:G72" si="12">(D24+F24)/2*I$12+E24</f>
        <v>208319.54925989205</v>
      </c>
      <c r="H24" s="456">
        <f t="shared" ref="H24:H72" si="13">+(D24+F24)/2*I$13+E24</f>
        <v>208319.54925989205</v>
      </c>
      <c r="I24" s="476">
        <f t="shared" si="4"/>
        <v>0</v>
      </c>
      <c r="J24" s="476"/>
      <c r="K24" s="488"/>
      <c r="L24" s="479">
        <f t="shared" ref="L24:L72" si="14">IF(K24&lt;&gt;0,+G24-K24,0)</f>
        <v>0</v>
      </c>
      <c r="M24" s="488"/>
      <c r="N24" s="479">
        <f t="shared" si="5"/>
        <v>0</v>
      </c>
      <c r="O24" s="479">
        <f t="shared" si="6"/>
        <v>0</v>
      </c>
      <c r="P24" s="243"/>
    </row>
    <row r="25" spans="2:16" ht="12.5">
      <c r="B25" s="160" t="str">
        <f t="shared" si="3"/>
        <v/>
      </c>
      <c r="C25" s="473">
        <f>IF(D11="","-",+C24+1)</f>
        <v>2022</v>
      </c>
      <c r="D25" s="486">
        <f>IF(F24+SUM(E$17:E24)=D$10,F24,D$10-SUM(E$17:E24))</f>
        <v>1441724.5723331065</v>
      </c>
      <c r="E25" s="485">
        <f t="shared" si="10"/>
        <v>40131.322093023256</v>
      </c>
      <c r="F25" s="486">
        <f t="shared" si="11"/>
        <v>1401593.2502400833</v>
      </c>
      <c r="G25" s="487">
        <f t="shared" si="12"/>
        <v>203702.18641085774</v>
      </c>
      <c r="H25" s="456">
        <f t="shared" si="13"/>
        <v>203702.18641085774</v>
      </c>
      <c r="I25" s="476">
        <f t="shared" si="4"/>
        <v>0</v>
      </c>
      <c r="J25" s="476"/>
      <c r="K25" s="488"/>
      <c r="L25" s="479">
        <f t="shared" si="14"/>
        <v>0</v>
      </c>
      <c r="M25" s="488"/>
      <c r="N25" s="479">
        <f t="shared" si="5"/>
        <v>0</v>
      </c>
      <c r="O25" s="479">
        <f t="shared" si="6"/>
        <v>0</v>
      </c>
      <c r="P25" s="243"/>
    </row>
    <row r="26" spans="2:16" ht="12.5">
      <c r="B26" s="160" t="str">
        <f t="shared" si="3"/>
        <v/>
      </c>
      <c r="C26" s="473">
        <f>IF(D11="","-",+C25+1)</f>
        <v>2023</v>
      </c>
      <c r="D26" s="486">
        <f>IF(F25+SUM(E$17:E25)=D$10,F25,D$10-SUM(E$17:E25))</f>
        <v>1401593.2502400833</v>
      </c>
      <c r="E26" s="485">
        <f t="shared" si="10"/>
        <v>40131.322093023256</v>
      </c>
      <c r="F26" s="486">
        <f t="shared" si="11"/>
        <v>1361461.9281470601</v>
      </c>
      <c r="G26" s="487">
        <f t="shared" si="12"/>
        <v>199084.82356182352</v>
      </c>
      <c r="H26" s="456">
        <f t="shared" si="13"/>
        <v>199084.82356182352</v>
      </c>
      <c r="I26" s="476">
        <f t="shared" si="4"/>
        <v>0</v>
      </c>
      <c r="J26" s="476"/>
      <c r="K26" s="488"/>
      <c r="L26" s="479">
        <f t="shared" si="14"/>
        <v>0</v>
      </c>
      <c r="M26" s="488"/>
      <c r="N26" s="479">
        <f t="shared" si="5"/>
        <v>0</v>
      </c>
      <c r="O26" s="479">
        <f t="shared" si="6"/>
        <v>0</v>
      </c>
      <c r="P26" s="243"/>
    </row>
    <row r="27" spans="2:16" ht="12.5">
      <c r="B27" s="160" t="str">
        <f t="shared" si="3"/>
        <v/>
      </c>
      <c r="C27" s="473">
        <f>IF(D11="","-",+C26+1)</f>
        <v>2024</v>
      </c>
      <c r="D27" s="486">
        <f>IF(F26+SUM(E$17:E26)=D$10,F26,D$10-SUM(E$17:E26))</f>
        <v>1361461.9281470601</v>
      </c>
      <c r="E27" s="485">
        <f t="shared" si="10"/>
        <v>40131.322093023256</v>
      </c>
      <c r="F27" s="486">
        <f t="shared" si="11"/>
        <v>1321330.6060540369</v>
      </c>
      <c r="G27" s="487">
        <f t="shared" si="12"/>
        <v>194467.46071278924</v>
      </c>
      <c r="H27" s="456">
        <f t="shared" si="13"/>
        <v>194467.46071278924</v>
      </c>
      <c r="I27" s="476">
        <f t="shared" si="4"/>
        <v>0</v>
      </c>
      <c r="J27" s="476"/>
      <c r="K27" s="488"/>
      <c r="L27" s="479">
        <f t="shared" si="14"/>
        <v>0</v>
      </c>
      <c r="M27" s="488"/>
      <c r="N27" s="479">
        <f t="shared" si="5"/>
        <v>0</v>
      </c>
      <c r="O27" s="479">
        <f t="shared" si="6"/>
        <v>0</v>
      </c>
      <c r="P27" s="243"/>
    </row>
    <row r="28" spans="2:16" ht="12.5">
      <c r="B28" s="160" t="str">
        <f t="shared" si="3"/>
        <v/>
      </c>
      <c r="C28" s="473">
        <f>IF(D11="","-",+C27+1)</f>
        <v>2025</v>
      </c>
      <c r="D28" s="486">
        <f>IF(F27+SUM(E$17:E27)=D$10,F27,D$10-SUM(E$17:E27))</f>
        <v>1321330.6060540369</v>
      </c>
      <c r="E28" s="485">
        <f t="shared" si="10"/>
        <v>40131.322093023256</v>
      </c>
      <c r="F28" s="486">
        <f t="shared" si="11"/>
        <v>1281199.2839610137</v>
      </c>
      <c r="G28" s="487">
        <f t="shared" si="12"/>
        <v>189850.09786375501</v>
      </c>
      <c r="H28" s="456">
        <f t="shared" si="13"/>
        <v>189850.09786375501</v>
      </c>
      <c r="I28" s="476">
        <f t="shared" si="4"/>
        <v>0</v>
      </c>
      <c r="J28" s="476"/>
      <c r="K28" s="488"/>
      <c r="L28" s="479">
        <f t="shared" si="14"/>
        <v>0</v>
      </c>
      <c r="M28" s="488"/>
      <c r="N28" s="479">
        <f t="shared" si="5"/>
        <v>0</v>
      </c>
      <c r="O28" s="479">
        <f t="shared" si="6"/>
        <v>0</v>
      </c>
      <c r="P28" s="243"/>
    </row>
    <row r="29" spans="2:16" ht="12.5">
      <c r="B29" s="160" t="str">
        <f t="shared" si="3"/>
        <v/>
      </c>
      <c r="C29" s="473">
        <f>IF(D11="","-",+C28+1)</f>
        <v>2026</v>
      </c>
      <c r="D29" s="486">
        <f>IF(F28+SUM(E$17:E28)=D$10,F28,D$10-SUM(E$17:E28))</f>
        <v>1281199.2839610137</v>
      </c>
      <c r="E29" s="485">
        <f t="shared" si="10"/>
        <v>40131.322093023256</v>
      </c>
      <c r="F29" s="486">
        <f t="shared" si="11"/>
        <v>1241067.9618679904</v>
      </c>
      <c r="G29" s="487">
        <f t="shared" si="12"/>
        <v>185232.7350147207</v>
      </c>
      <c r="H29" s="456">
        <f t="shared" si="13"/>
        <v>185232.7350147207</v>
      </c>
      <c r="I29" s="476">
        <f t="shared" si="4"/>
        <v>0</v>
      </c>
      <c r="J29" s="476"/>
      <c r="K29" s="488"/>
      <c r="L29" s="479">
        <f t="shared" si="14"/>
        <v>0</v>
      </c>
      <c r="M29" s="488"/>
      <c r="N29" s="479">
        <f t="shared" si="5"/>
        <v>0</v>
      </c>
      <c r="O29" s="479">
        <f t="shared" si="6"/>
        <v>0</v>
      </c>
      <c r="P29" s="243"/>
    </row>
    <row r="30" spans="2:16" ht="12.5">
      <c r="B30" s="160" t="str">
        <f t="shared" si="3"/>
        <v/>
      </c>
      <c r="C30" s="473">
        <f>IF(D11="","-",+C29+1)</f>
        <v>2027</v>
      </c>
      <c r="D30" s="486">
        <f>IF(F29+SUM(E$17:E29)=D$10,F29,D$10-SUM(E$17:E29))</f>
        <v>1241067.9618679904</v>
      </c>
      <c r="E30" s="485">
        <f t="shared" si="10"/>
        <v>40131.322093023256</v>
      </c>
      <c r="F30" s="486">
        <f t="shared" si="11"/>
        <v>1200936.6397749672</v>
      </c>
      <c r="G30" s="487">
        <f t="shared" si="12"/>
        <v>180615.37216568648</v>
      </c>
      <c r="H30" s="456">
        <f t="shared" si="13"/>
        <v>180615.37216568648</v>
      </c>
      <c r="I30" s="476">
        <f t="shared" si="4"/>
        <v>0</v>
      </c>
      <c r="J30" s="476"/>
      <c r="K30" s="488"/>
      <c r="L30" s="479">
        <f t="shared" si="14"/>
        <v>0</v>
      </c>
      <c r="M30" s="488"/>
      <c r="N30" s="479">
        <f t="shared" si="5"/>
        <v>0</v>
      </c>
      <c r="O30" s="479">
        <f t="shared" si="6"/>
        <v>0</v>
      </c>
      <c r="P30" s="243"/>
    </row>
    <row r="31" spans="2:16" ht="12.5">
      <c r="B31" s="160" t="str">
        <f t="shared" si="3"/>
        <v/>
      </c>
      <c r="C31" s="473">
        <f>IF(D11="","-",+C30+1)</f>
        <v>2028</v>
      </c>
      <c r="D31" s="486">
        <f>IF(F30+SUM(E$17:E30)=D$10,F30,D$10-SUM(E$17:E30))</f>
        <v>1200936.6397749672</v>
      </c>
      <c r="E31" s="485">
        <f t="shared" si="10"/>
        <v>40131.322093023256</v>
      </c>
      <c r="F31" s="486">
        <f t="shared" si="11"/>
        <v>1160805.317681944</v>
      </c>
      <c r="G31" s="487">
        <f t="shared" si="12"/>
        <v>175998.0093166522</v>
      </c>
      <c r="H31" s="456">
        <f t="shared" si="13"/>
        <v>175998.0093166522</v>
      </c>
      <c r="I31" s="476">
        <f t="shared" si="4"/>
        <v>0</v>
      </c>
      <c r="J31" s="476"/>
      <c r="K31" s="488"/>
      <c r="L31" s="479">
        <f t="shared" si="14"/>
        <v>0</v>
      </c>
      <c r="M31" s="488"/>
      <c r="N31" s="479">
        <f t="shared" si="5"/>
        <v>0</v>
      </c>
      <c r="O31" s="479">
        <f t="shared" si="6"/>
        <v>0</v>
      </c>
      <c r="P31" s="243"/>
    </row>
    <row r="32" spans="2:16" ht="12.5">
      <c r="B32" s="160" t="str">
        <f t="shared" si="3"/>
        <v/>
      </c>
      <c r="C32" s="473">
        <f>IF(D11="","-",+C31+1)</f>
        <v>2029</v>
      </c>
      <c r="D32" s="486">
        <f>IF(F31+SUM(E$17:E31)=D$10,F31,D$10-SUM(E$17:E31))</f>
        <v>1160805.317681944</v>
      </c>
      <c r="E32" s="485">
        <f t="shared" si="10"/>
        <v>40131.322093023256</v>
      </c>
      <c r="F32" s="486">
        <f t="shared" si="11"/>
        <v>1120673.9955889208</v>
      </c>
      <c r="G32" s="487">
        <f t="shared" si="12"/>
        <v>171380.64646761797</v>
      </c>
      <c r="H32" s="456">
        <f t="shared" si="13"/>
        <v>171380.64646761797</v>
      </c>
      <c r="I32" s="476">
        <f t="shared" si="4"/>
        <v>0</v>
      </c>
      <c r="J32" s="476"/>
      <c r="K32" s="488"/>
      <c r="L32" s="479">
        <f t="shared" si="14"/>
        <v>0</v>
      </c>
      <c r="M32" s="488"/>
      <c r="N32" s="479">
        <f t="shared" si="5"/>
        <v>0</v>
      </c>
      <c r="O32" s="479">
        <f t="shared" si="6"/>
        <v>0</v>
      </c>
      <c r="P32" s="243"/>
    </row>
    <row r="33" spans="2:16" ht="12.5">
      <c r="B33" s="160" t="str">
        <f t="shared" si="3"/>
        <v/>
      </c>
      <c r="C33" s="473">
        <f>IF(D11="","-",+C32+1)</f>
        <v>2030</v>
      </c>
      <c r="D33" s="486">
        <f>IF(F32+SUM(E$17:E32)=D$10,F32,D$10-SUM(E$17:E32))</f>
        <v>1120673.9955889208</v>
      </c>
      <c r="E33" s="485">
        <f t="shared" si="10"/>
        <v>40131.322093023256</v>
      </c>
      <c r="F33" s="486">
        <f t="shared" si="11"/>
        <v>1080542.6734958976</v>
      </c>
      <c r="G33" s="487">
        <f t="shared" si="12"/>
        <v>166763.28361858369</v>
      </c>
      <c r="H33" s="456">
        <f t="shared" si="13"/>
        <v>166763.28361858369</v>
      </c>
      <c r="I33" s="476">
        <f t="shared" si="4"/>
        <v>0</v>
      </c>
      <c r="J33" s="476"/>
      <c r="K33" s="488"/>
      <c r="L33" s="479">
        <f t="shared" si="14"/>
        <v>0</v>
      </c>
      <c r="M33" s="488"/>
      <c r="N33" s="479">
        <f t="shared" si="5"/>
        <v>0</v>
      </c>
      <c r="O33" s="479">
        <f t="shared" si="6"/>
        <v>0</v>
      </c>
      <c r="P33" s="243"/>
    </row>
    <row r="34" spans="2:16" ht="12.5">
      <c r="B34" s="160" t="str">
        <f t="shared" si="3"/>
        <v/>
      </c>
      <c r="C34" s="473">
        <f>IF(D11="","-",+C33+1)</f>
        <v>2031</v>
      </c>
      <c r="D34" s="486">
        <f>IF(F33+SUM(E$17:E33)=D$10,F33,D$10-SUM(E$17:E33))</f>
        <v>1080542.6734958976</v>
      </c>
      <c r="E34" s="485">
        <f t="shared" si="10"/>
        <v>40131.322093023256</v>
      </c>
      <c r="F34" s="486">
        <f t="shared" si="11"/>
        <v>1040411.3514028743</v>
      </c>
      <c r="G34" s="487">
        <f t="shared" si="12"/>
        <v>162145.92076954944</v>
      </c>
      <c r="H34" s="456">
        <f t="shared" si="13"/>
        <v>162145.92076954944</v>
      </c>
      <c r="I34" s="476">
        <f t="shared" si="4"/>
        <v>0</v>
      </c>
      <c r="J34" s="476"/>
      <c r="K34" s="488"/>
      <c r="L34" s="479">
        <f t="shared" si="14"/>
        <v>0</v>
      </c>
      <c r="M34" s="488"/>
      <c r="N34" s="479">
        <f t="shared" si="5"/>
        <v>0</v>
      </c>
      <c r="O34" s="479">
        <f t="shared" si="6"/>
        <v>0</v>
      </c>
      <c r="P34" s="243"/>
    </row>
    <row r="35" spans="2:16" ht="12.5">
      <c r="B35" s="160" t="str">
        <f t="shared" si="3"/>
        <v/>
      </c>
      <c r="C35" s="473">
        <f>IF(D11="","-",+C34+1)</f>
        <v>2032</v>
      </c>
      <c r="D35" s="486">
        <f>IF(F34+SUM(E$17:E34)=D$10,F34,D$10-SUM(E$17:E34))</f>
        <v>1040411.3514028743</v>
      </c>
      <c r="E35" s="485">
        <f t="shared" si="10"/>
        <v>40131.322093023256</v>
      </c>
      <c r="F35" s="486">
        <f t="shared" si="11"/>
        <v>1000280.0293098511</v>
      </c>
      <c r="G35" s="487">
        <f t="shared" si="12"/>
        <v>157528.55792051519</v>
      </c>
      <c r="H35" s="456">
        <f t="shared" si="13"/>
        <v>157528.55792051519</v>
      </c>
      <c r="I35" s="476">
        <f t="shared" si="4"/>
        <v>0</v>
      </c>
      <c r="J35" s="476"/>
      <c r="K35" s="488"/>
      <c r="L35" s="479">
        <f t="shared" si="14"/>
        <v>0</v>
      </c>
      <c r="M35" s="488"/>
      <c r="N35" s="479">
        <f t="shared" si="5"/>
        <v>0</v>
      </c>
      <c r="O35" s="479">
        <f t="shared" si="6"/>
        <v>0</v>
      </c>
      <c r="P35" s="243"/>
    </row>
    <row r="36" spans="2:16" ht="12.5">
      <c r="B36" s="160" t="str">
        <f t="shared" si="3"/>
        <v/>
      </c>
      <c r="C36" s="473">
        <f>IF(D11="","-",+C35+1)</f>
        <v>2033</v>
      </c>
      <c r="D36" s="486">
        <f>IF(F35+SUM(E$17:E35)=D$10,F35,D$10-SUM(E$17:E35))</f>
        <v>1000280.0293098511</v>
      </c>
      <c r="E36" s="485">
        <f t="shared" si="10"/>
        <v>40131.322093023256</v>
      </c>
      <c r="F36" s="486">
        <f t="shared" si="11"/>
        <v>960148.7072168279</v>
      </c>
      <c r="G36" s="487">
        <f t="shared" si="12"/>
        <v>152911.19507148091</v>
      </c>
      <c r="H36" s="456">
        <f t="shared" si="13"/>
        <v>152911.19507148091</v>
      </c>
      <c r="I36" s="476">
        <f t="shared" si="4"/>
        <v>0</v>
      </c>
      <c r="J36" s="476"/>
      <c r="K36" s="488"/>
      <c r="L36" s="479">
        <f t="shared" si="14"/>
        <v>0</v>
      </c>
      <c r="M36" s="488"/>
      <c r="N36" s="479">
        <f t="shared" si="5"/>
        <v>0</v>
      </c>
      <c r="O36" s="479">
        <f t="shared" si="6"/>
        <v>0</v>
      </c>
      <c r="P36" s="243"/>
    </row>
    <row r="37" spans="2:16" ht="12.5">
      <c r="B37" s="160" t="str">
        <f t="shared" si="3"/>
        <v/>
      </c>
      <c r="C37" s="473">
        <f>IF(D11="","-",+C36+1)</f>
        <v>2034</v>
      </c>
      <c r="D37" s="486">
        <f>IF(F36+SUM(E$17:E36)=D$10,F36,D$10-SUM(E$17:E36))</f>
        <v>960148.7072168279</v>
      </c>
      <c r="E37" s="485">
        <f t="shared" si="10"/>
        <v>40131.322093023256</v>
      </c>
      <c r="F37" s="486">
        <f t="shared" si="11"/>
        <v>920017.38512380468</v>
      </c>
      <c r="G37" s="487">
        <f t="shared" si="12"/>
        <v>148293.83222244665</v>
      </c>
      <c r="H37" s="456">
        <f t="shared" si="13"/>
        <v>148293.83222244665</v>
      </c>
      <c r="I37" s="476">
        <f t="shared" si="4"/>
        <v>0</v>
      </c>
      <c r="J37" s="476"/>
      <c r="K37" s="488"/>
      <c r="L37" s="479">
        <f t="shared" si="14"/>
        <v>0</v>
      </c>
      <c r="M37" s="488"/>
      <c r="N37" s="479">
        <f t="shared" si="5"/>
        <v>0</v>
      </c>
      <c r="O37" s="479">
        <f t="shared" si="6"/>
        <v>0</v>
      </c>
      <c r="P37" s="243"/>
    </row>
    <row r="38" spans="2:16" ht="12.5">
      <c r="B38" s="160" t="str">
        <f t="shared" si="3"/>
        <v/>
      </c>
      <c r="C38" s="473">
        <f>IF(D11="","-",+C37+1)</f>
        <v>2035</v>
      </c>
      <c r="D38" s="486">
        <f>IF(F37+SUM(E$17:E37)=D$10,F37,D$10-SUM(E$17:E37))</f>
        <v>920017.38512380468</v>
      </c>
      <c r="E38" s="485">
        <f t="shared" si="10"/>
        <v>40131.322093023256</v>
      </c>
      <c r="F38" s="486">
        <f t="shared" si="11"/>
        <v>879886.06303078146</v>
      </c>
      <c r="G38" s="487">
        <f t="shared" si="12"/>
        <v>143676.4693734124</v>
      </c>
      <c r="H38" s="456">
        <f t="shared" si="13"/>
        <v>143676.4693734124</v>
      </c>
      <c r="I38" s="476">
        <f t="shared" si="4"/>
        <v>0</v>
      </c>
      <c r="J38" s="476"/>
      <c r="K38" s="488"/>
      <c r="L38" s="479">
        <f t="shared" si="14"/>
        <v>0</v>
      </c>
      <c r="M38" s="488"/>
      <c r="N38" s="479">
        <f t="shared" si="5"/>
        <v>0</v>
      </c>
      <c r="O38" s="479">
        <f t="shared" si="6"/>
        <v>0</v>
      </c>
      <c r="P38" s="243"/>
    </row>
    <row r="39" spans="2:16" ht="12.5">
      <c r="B39" s="160" t="str">
        <f t="shared" si="3"/>
        <v/>
      </c>
      <c r="C39" s="473">
        <f>IF(D11="","-",+C38+1)</f>
        <v>2036</v>
      </c>
      <c r="D39" s="486">
        <f>IF(F38+SUM(E$17:E38)=D$10,F38,D$10-SUM(E$17:E38))</f>
        <v>879886.06303078146</v>
      </c>
      <c r="E39" s="485">
        <f t="shared" si="10"/>
        <v>40131.322093023256</v>
      </c>
      <c r="F39" s="486">
        <f t="shared" si="11"/>
        <v>839754.74093775824</v>
      </c>
      <c r="G39" s="487">
        <f t="shared" si="12"/>
        <v>139059.10652437815</v>
      </c>
      <c r="H39" s="456">
        <f t="shared" si="13"/>
        <v>139059.10652437815</v>
      </c>
      <c r="I39" s="476">
        <f t="shared" si="4"/>
        <v>0</v>
      </c>
      <c r="J39" s="476"/>
      <c r="K39" s="488"/>
      <c r="L39" s="479">
        <f t="shared" si="14"/>
        <v>0</v>
      </c>
      <c r="M39" s="488"/>
      <c r="N39" s="479">
        <f t="shared" si="5"/>
        <v>0</v>
      </c>
      <c r="O39" s="479">
        <f t="shared" si="6"/>
        <v>0</v>
      </c>
      <c r="P39" s="243"/>
    </row>
    <row r="40" spans="2:16" ht="12.5">
      <c r="B40" s="160" t="str">
        <f t="shared" si="3"/>
        <v/>
      </c>
      <c r="C40" s="473">
        <f>IF(D11="","-",+C39+1)</f>
        <v>2037</v>
      </c>
      <c r="D40" s="486">
        <f>IF(F39+SUM(E$17:E39)=D$10,F39,D$10-SUM(E$17:E39))</f>
        <v>839754.74093775824</v>
      </c>
      <c r="E40" s="485">
        <f t="shared" si="10"/>
        <v>40131.322093023256</v>
      </c>
      <c r="F40" s="486">
        <f t="shared" si="11"/>
        <v>799623.41884473502</v>
      </c>
      <c r="G40" s="487">
        <f t="shared" si="12"/>
        <v>134441.74367534387</v>
      </c>
      <c r="H40" s="456">
        <f t="shared" si="13"/>
        <v>134441.74367534387</v>
      </c>
      <c r="I40" s="476">
        <f t="shared" si="4"/>
        <v>0</v>
      </c>
      <c r="J40" s="476"/>
      <c r="K40" s="488"/>
      <c r="L40" s="479">
        <f t="shared" si="14"/>
        <v>0</v>
      </c>
      <c r="M40" s="488"/>
      <c r="N40" s="479">
        <f t="shared" si="5"/>
        <v>0</v>
      </c>
      <c r="O40" s="479">
        <f t="shared" si="6"/>
        <v>0</v>
      </c>
      <c r="P40" s="243"/>
    </row>
    <row r="41" spans="2:16" ht="12.5">
      <c r="B41" s="160" t="str">
        <f t="shared" si="3"/>
        <v/>
      </c>
      <c r="C41" s="473">
        <f>IF(D11="","-",+C40+1)</f>
        <v>2038</v>
      </c>
      <c r="D41" s="486">
        <f>IF(F40+SUM(E$17:E40)=D$10,F40,D$10-SUM(E$17:E40))</f>
        <v>799623.41884473502</v>
      </c>
      <c r="E41" s="485">
        <f t="shared" si="10"/>
        <v>40131.322093023256</v>
      </c>
      <c r="F41" s="486">
        <f t="shared" si="11"/>
        <v>759492.0967517118</v>
      </c>
      <c r="G41" s="487">
        <f t="shared" si="12"/>
        <v>129824.38082630961</v>
      </c>
      <c r="H41" s="456">
        <f t="shared" si="13"/>
        <v>129824.38082630961</v>
      </c>
      <c r="I41" s="476">
        <f t="shared" si="4"/>
        <v>0</v>
      </c>
      <c r="J41" s="476"/>
      <c r="K41" s="488"/>
      <c r="L41" s="479">
        <f t="shared" si="14"/>
        <v>0</v>
      </c>
      <c r="M41" s="488"/>
      <c r="N41" s="479">
        <f t="shared" si="5"/>
        <v>0</v>
      </c>
      <c r="O41" s="479">
        <f t="shared" si="6"/>
        <v>0</v>
      </c>
      <c r="P41" s="243"/>
    </row>
    <row r="42" spans="2:16" ht="12.5">
      <c r="B42" s="160" t="str">
        <f t="shared" si="3"/>
        <v/>
      </c>
      <c r="C42" s="473">
        <f>IF(D11="","-",+C41+1)</f>
        <v>2039</v>
      </c>
      <c r="D42" s="486">
        <f>IF(F41+SUM(E$17:E41)=D$10,F41,D$10-SUM(E$17:E41))</f>
        <v>759492.0967517118</v>
      </c>
      <c r="E42" s="485">
        <f t="shared" si="10"/>
        <v>40131.322093023256</v>
      </c>
      <c r="F42" s="486">
        <f t="shared" si="11"/>
        <v>719360.77465868858</v>
      </c>
      <c r="G42" s="487">
        <f t="shared" si="12"/>
        <v>125207.01797727536</v>
      </c>
      <c r="H42" s="456">
        <f t="shared" si="13"/>
        <v>125207.01797727536</v>
      </c>
      <c r="I42" s="476">
        <f t="shared" si="4"/>
        <v>0</v>
      </c>
      <c r="J42" s="476"/>
      <c r="K42" s="488"/>
      <c r="L42" s="479">
        <f t="shared" si="14"/>
        <v>0</v>
      </c>
      <c r="M42" s="488"/>
      <c r="N42" s="479">
        <f t="shared" si="5"/>
        <v>0</v>
      </c>
      <c r="O42" s="479">
        <f t="shared" si="6"/>
        <v>0</v>
      </c>
      <c r="P42" s="243"/>
    </row>
    <row r="43" spans="2:16" ht="12.5">
      <c r="B43" s="160" t="str">
        <f t="shared" si="3"/>
        <v/>
      </c>
      <c r="C43" s="473">
        <f>IF(D11="","-",+C42+1)</f>
        <v>2040</v>
      </c>
      <c r="D43" s="486">
        <f>IF(F42+SUM(E$17:E42)=D$10,F42,D$10-SUM(E$17:E42))</f>
        <v>719360.77465868858</v>
      </c>
      <c r="E43" s="485">
        <f t="shared" si="10"/>
        <v>40131.322093023256</v>
      </c>
      <c r="F43" s="486">
        <f t="shared" si="11"/>
        <v>679229.45256566536</v>
      </c>
      <c r="G43" s="487">
        <f t="shared" si="12"/>
        <v>120589.65512824111</v>
      </c>
      <c r="H43" s="456">
        <f t="shared" si="13"/>
        <v>120589.65512824111</v>
      </c>
      <c r="I43" s="476">
        <f t="shared" si="4"/>
        <v>0</v>
      </c>
      <c r="J43" s="476"/>
      <c r="K43" s="488"/>
      <c r="L43" s="479">
        <f t="shared" si="14"/>
        <v>0</v>
      </c>
      <c r="M43" s="488"/>
      <c r="N43" s="479">
        <f t="shared" si="5"/>
        <v>0</v>
      </c>
      <c r="O43" s="479">
        <f t="shared" si="6"/>
        <v>0</v>
      </c>
      <c r="P43" s="243"/>
    </row>
    <row r="44" spans="2:16" ht="12.5">
      <c r="B44" s="160" t="str">
        <f t="shared" si="3"/>
        <v/>
      </c>
      <c r="C44" s="473">
        <f>IF(D11="","-",+C43+1)</f>
        <v>2041</v>
      </c>
      <c r="D44" s="486">
        <f>IF(F43+SUM(E$17:E43)=D$10,F43,D$10-SUM(E$17:E43))</f>
        <v>679229.45256566536</v>
      </c>
      <c r="E44" s="485">
        <f t="shared" si="10"/>
        <v>40131.322093023256</v>
      </c>
      <c r="F44" s="486">
        <f t="shared" si="11"/>
        <v>639098.13047264214</v>
      </c>
      <c r="G44" s="487">
        <f t="shared" si="12"/>
        <v>115972.29227920683</v>
      </c>
      <c r="H44" s="456">
        <f t="shared" si="13"/>
        <v>115972.29227920683</v>
      </c>
      <c r="I44" s="476">
        <f t="shared" si="4"/>
        <v>0</v>
      </c>
      <c r="J44" s="476"/>
      <c r="K44" s="488"/>
      <c r="L44" s="479">
        <f t="shared" si="14"/>
        <v>0</v>
      </c>
      <c r="M44" s="488"/>
      <c r="N44" s="479">
        <f t="shared" si="5"/>
        <v>0</v>
      </c>
      <c r="O44" s="479">
        <f t="shared" si="6"/>
        <v>0</v>
      </c>
      <c r="P44" s="243"/>
    </row>
    <row r="45" spans="2:16" ht="12.5">
      <c r="B45" s="160" t="str">
        <f t="shared" si="3"/>
        <v/>
      </c>
      <c r="C45" s="473">
        <f>IF(D11="","-",+C44+1)</f>
        <v>2042</v>
      </c>
      <c r="D45" s="486">
        <f>IF(F44+SUM(E$17:E44)=D$10,F44,D$10-SUM(E$17:E44))</f>
        <v>639098.13047264214</v>
      </c>
      <c r="E45" s="485">
        <f t="shared" si="10"/>
        <v>40131.322093023256</v>
      </c>
      <c r="F45" s="486">
        <f t="shared" si="11"/>
        <v>598966.80837961892</v>
      </c>
      <c r="G45" s="487">
        <f t="shared" si="12"/>
        <v>111354.92943017257</v>
      </c>
      <c r="H45" s="456">
        <f t="shared" si="13"/>
        <v>111354.92943017257</v>
      </c>
      <c r="I45" s="476">
        <f t="shared" si="4"/>
        <v>0</v>
      </c>
      <c r="J45" s="476"/>
      <c r="K45" s="488"/>
      <c r="L45" s="479">
        <f t="shared" si="14"/>
        <v>0</v>
      </c>
      <c r="M45" s="488"/>
      <c r="N45" s="479">
        <f t="shared" si="5"/>
        <v>0</v>
      </c>
      <c r="O45" s="479">
        <f t="shared" si="6"/>
        <v>0</v>
      </c>
      <c r="P45" s="243"/>
    </row>
    <row r="46" spans="2:16" ht="12.5">
      <c r="B46" s="160" t="str">
        <f t="shared" si="3"/>
        <v/>
      </c>
      <c r="C46" s="473">
        <f>IF(D11="","-",+C45+1)</f>
        <v>2043</v>
      </c>
      <c r="D46" s="486">
        <f>IF(F45+SUM(E$17:E45)=D$10,F45,D$10-SUM(E$17:E45))</f>
        <v>598966.80837961892</v>
      </c>
      <c r="E46" s="485">
        <f t="shared" si="10"/>
        <v>40131.322093023256</v>
      </c>
      <c r="F46" s="486">
        <f t="shared" si="11"/>
        <v>558835.4862865957</v>
      </c>
      <c r="G46" s="487">
        <f t="shared" si="12"/>
        <v>106737.56658113832</v>
      </c>
      <c r="H46" s="456">
        <f t="shared" si="13"/>
        <v>106737.56658113832</v>
      </c>
      <c r="I46" s="476">
        <f t="shared" si="4"/>
        <v>0</v>
      </c>
      <c r="J46" s="476"/>
      <c r="K46" s="488"/>
      <c r="L46" s="479">
        <f t="shared" si="14"/>
        <v>0</v>
      </c>
      <c r="M46" s="488"/>
      <c r="N46" s="479">
        <f t="shared" si="5"/>
        <v>0</v>
      </c>
      <c r="O46" s="479">
        <f t="shared" si="6"/>
        <v>0</v>
      </c>
      <c r="P46" s="243"/>
    </row>
    <row r="47" spans="2:16" ht="12.5">
      <c r="B47" s="160" t="str">
        <f t="shared" si="3"/>
        <v/>
      </c>
      <c r="C47" s="473">
        <f>IF(D11="","-",+C46+1)</f>
        <v>2044</v>
      </c>
      <c r="D47" s="486">
        <f>IF(F46+SUM(E$17:E46)=D$10,F46,D$10-SUM(E$17:E46))</f>
        <v>558835.4862865957</v>
      </c>
      <c r="E47" s="485">
        <f t="shared" si="10"/>
        <v>40131.322093023256</v>
      </c>
      <c r="F47" s="486">
        <f t="shared" si="11"/>
        <v>518704.16419357242</v>
      </c>
      <c r="G47" s="487">
        <f t="shared" si="12"/>
        <v>102120.20373210407</v>
      </c>
      <c r="H47" s="456">
        <f t="shared" si="13"/>
        <v>102120.20373210407</v>
      </c>
      <c r="I47" s="476">
        <f t="shared" si="4"/>
        <v>0</v>
      </c>
      <c r="J47" s="476"/>
      <c r="K47" s="488"/>
      <c r="L47" s="479">
        <f t="shared" si="14"/>
        <v>0</v>
      </c>
      <c r="M47" s="488"/>
      <c r="N47" s="479">
        <f t="shared" si="5"/>
        <v>0</v>
      </c>
      <c r="O47" s="479">
        <f t="shared" si="6"/>
        <v>0</v>
      </c>
      <c r="P47" s="243"/>
    </row>
    <row r="48" spans="2:16" ht="12.5">
      <c r="B48" s="160" t="str">
        <f t="shared" si="3"/>
        <v/>
      </c>
      <c r="C48" s="473">
        <f>IF(D11="","-",+C47+1)</f>
        <v>2045</v>
      </c>
      <c r="D48" s="486">
        <f>IF(F47+SUM(E$17:E47)=D$10,F47,D$10-SUM(E$17:E47))</f>
        <v>518704.16419357242</v>
      </c>
      <c r="E48" s="485">
        <f t="shared" si="10"/>
        <v>40131.322093023256</v>
      </c>
      <c r="F48" s="486">
        <f t="shared" si="11"/>
        <v>478572.84210054914</v>
      </c>
      <c r="G48" s="487">
        <f t="shared" si="12"/>
        <v>97502.840883069788</v>
      </c>
      <c r="H48" s="456">
        <f t="shared" si="13"/>
        <v>97502.840883069788</v>
      </c>
      <c r="I48" s="476">
        <f t="shared" si="4"/>
        <v>0</v>
      </c>
      <c r="J48" s="476"/>
      <c r="K48" s="488"/>
      <c r="L48" s="479">
        <f t="shared" si="14"/>
        <v>0</v>
      </c>
      <c r="M48" s="488"/>
      <c r="N48" s="479">
        <f t="shared" si="5"/>
        <v>0</v>
      </c>
      <c r="O48" s="479">
        <f t="shared" si="6"/>
        <v>0</v>
      </c>
      <c r="P48" s="243"/>
    </row>
    <row r="49" spans="2:16" ht="12.5">
      <c r="B49" s="160" t="str">
        <f t="shared" si="3"/>
        <v/>
      </c>
      <c r="C49" s="473">
        <f>IF(D11="","-",+C48+1)</f>
        <v>2046</v>
      </c>
      <c r="D49" s="486">
        <f>IF(F48+SUM(E$17:E48)=D$10,F48,D$10-SUM(E$17:E48))</f>
        <v>478572.84210054914</v>
      </c>
      <c r="E49" s="485">
        <f t="shared" si="10"/>
        <v>40131.322093023256</v>
      </c>
      <c r="F49" s="486">
        <f t="shared" si="11"/>
        <v>438441.52000752586</v>
      </c>
      <c r="G49" s="487">
        <f t="shared" si="12"/>
        <v>92885.478034035536</v>
      </c>
      <c r="H49" s="456">
        <f t="shared" si="13"/>
        <v>92885.478034035536</v>
      </c>
      <c r="I49" s="476">
        <f t="shared" si="4"/>
        <v>0</v>
      </c>
      <c r="J49" s="476"/>
      <c r="K49" s="488"/>
      <c r="L49" s="479">
        <f t="shared" si="14"/>
        <v>0</v>
      </c>
      <c r="M49" s="488"/>
      <c r="N49" s="479">
        <f t="shared" si="5"/>
        <v>0</v>
      </c>
      <c r="O49" s="479">
        <f t="shared" si="6"/>
        <v>0</v>
      </c>
      <c r="P49" s="243"/>
    </row>
    <row r="50" spans="2:16" ht="12.5">
      <c r="B50" s="160" t="str">
        <f t="shared" si="3"/>
        <v/>
      </c>
      <c r="C50" s="473">
        <f>IF(D11="","-",+C49+1)</f>
        <v>2047</v>
      </c>
      <c r="D50" s="486">
        <f>IF(F49+SUM(E$17:E49)=D$10,F49,D$10-SUM(E$17:E49))</f>
        <v>438441.52000752586</v>
      </c>
      <c r="E50" s="485">
        <f t="shared" si="10"/>
        <v>40131.322093023256</v>
      </c>
      <c r="F50" s="486">
        <f t="shared" si="11"/>
        <v>398310.19791450258</v>
      </c>
      <c r="G50" s="487">
        <f t="shared" si="12"/>
        <v>88268.115185001254</v>
      </c>
      <c r="H50" s="456">
        <f t="shared" si="13"/>
        <v>88268.115185001254</v>
      </c>
      <c r="I50" s="476">
        <f t="shared" si="4"/>
        <v>0</v>
      </c>
      <c r="J50" s="476"/>
      <c r="K50" s="488"/>
      <c r="L50" s="479">
        <f t="shared" si="14"/>
        <v>0</v>
      </c>
      <c r="M50" s="488"/>
      <c r="N50" s="479">
        <f t="shared" si="5"/>
        <v>0</v>
      </c>
      <c r="O50" s="479">
        <f t="shared" si="6"/>
        <v>0</v>
      </c>
      <c r="P50" s="243"/>
    </row>
    <row r="51" spans="2:16" ht="12.5">
      <c r="B51" s="160" t="str">
        <f t="shared" si="3"/>
        <v/>
      </c>
      <c r="C51" s="473">
        <f>IF(D11="","-",+C50+1)</f>
        <v>2048</v>
      </c>
      <c r="D51" s="486">
        <f>IF(F50+SUM(E$17:E50)=D$10,F50,D$10-SUM(E$17:E50))</f>
        <v>398310.19791450258</v>
      </c>
      <c r="E51" s="485">
        <f t="shared" si="10"/>
        <v>40131.322093023256</v>
      </c>
      <c r="F51" s="486">
        <f t="shared" si="11"/>
        <v>358178.87582147931</v>
      </c>
      <c r="G51" s="487">
        <f t="shared" si="12"/>
        <v>83650.752335967001</v>
      </c>
      <c r="H51" s="456">
        <f t="shared" si="13"/>
        <v>83650.752335967001</v>
      </c>
      <c r="I51" s="476">
        <f t="shared" si="4"/>
        <v>0</v>
      </c>
      <c r="J51" s="476"/>
      <c r="K51" s="488"/>
      <c r="L51" s="479">
        <f t="shared" si="14"/>
        <v>0</v>
      </c>
      <c r="M51" s="488"/>
      <c r="N51" s="479">
        <f t="shared" si="5"/>
        <v>0</v>
      </c>
      <c r="O51" s="479">
        <f t="shared" si="6"/>
        <v>0</v>
      </c>
      <c r="P51" s="243"/>
    </row>
    <row r="52" spans="2:16" ht="12.5">
      <c r="B52" s="160" t="str">
        <f t="shared" si="3"/>
        <v/>
      </c>
      <c r="C52" s="473">
        <f>IF(D11="","-",+C51+1)</f>
        <v>2049</v>
      </c>
      <c r="D52" s="486">
        <f>IF(F51+SUM(E$17:E51)=D$10,F51,D$10-SUM(E$17:E51))</f>
        <v>358178.87582147931</v>
      </c>
      <c r="E52" s="485">
        <f t="shared" si="10"/>
        <v>40131.322093023256</v>
      </c>
      <c r="F52" s="486">
        <f t="shared" si="11"/>
        <v>318047.55372845603</v>
      </c>
      <c r="G52" s="487">
        <f t="shared" si="12"/>
        <v>79033.38948693272</v>
      </c>
      <c r="H52" s="456">
        <f t="shared" si="13"/>
        <v>79033.38948693272</v>
      </c>
      <c r="I52" s="476">
        <f t="shared" si="4"/>
        <v>0</v>
      </c>
      <c r="J52" s="476"/>
      <c r="K52" s="488"/>
      <c r="L52" s="479">
        <f t="shared" si="14"/>
        <v>0</v>
      </c>
      <c r="M52" s="488"/>
      <c r="N52" s="479">
        <f t="shared" si="5"/>
        <v>0</v>
      </c>
      <c r="O52" s="479">
        <f t="shared" si="6"/>
        <v>0</v>
      </c>
      <c r="P52" s="243"/>
    </row>
    <row r="53" spans="2:16" ht="12.5">
      <c r="B53" s="160" t="str">
        <f t="shared" si="3"/>
        <v/>
      </c>
      <c r="C53" s="473">
        <f>IF(D11="","-",+C52+1)</f>
        <v>2050</v>
      </c>
      <c r="D53" s="486">
        <f>IF(F52+SUM(E$17:E52)=D$10,F52,D$10-SUM(E$17:E52))</f>
        <v>318047.55372845603</v>
      </c>
      <c r="E53" s="485">
        <f t="shared" si="10"/>
        <v>40131.322093023256</v>
      </c>
      <c r="F53" s="486">
        <f t="shared" si="11"/>
        <v>277916.23163543275</v>
      </c>
      <c r="G53" s="487">
        <f t="shared" si="12"/>
        <v>74416.026637898467</v>
      </c>
      <c r="H53" s="456">
        <f t="shared" si="13"/>
        <v>74416.026637898467</v>
      </c>
      <c r="I53" s="476">
        <f t="shared" si="4"/>
        <v>0</v>
      </c>
      <c r="J53" s="476"/>
      <c r="K53" s="488"/>
      <c r="L53" s="479">
        <f t="shared" si="14"/>
        <v>0</v>
      </c>
      <c r="M53" s="488"/>
      <c r="N53" s="479">
        <f t="shared" si="5"/>
        <v>0</v>
      </c>
      <c r="O53" s="479">
        <f t="shared" si="6"/>
        <v>0</v>
      </c>
      <c r="P53" s="243"/>
    </row>
    <row r="54" spans="2:16" ht="12.5">
      <c r="B54" s="160" t="str">
        <f t="shared" si="3"/>
        <v/>
      </c>
      <c r="C54" s="473">
        <f>IF(D11="","-",+C53+1)</f>
        <v>2051</v>
      </c>
      <c r="D54" s="486">
        <f>IF(F53+SUM(E$17:E53)=D$10,F53,D$10-SUM(E$17:E53))</f>
        <v>277916.23163543275</v>
      </c>
      <c r="E54" s="485">
        <f t="shared" si="10"/>
        <v>40131.322093023256</v>
      </c>
      <c r="F54" s="486">
        <f t="shared" si="11"/>
        <v>237784.9095424095</v>
      </c>
      <c r="G54" s="487">
        <f t="shared" si="12"/>
        <v>69798.6637888642</v>
      </c>
      <c r="H54" s="456">
        <f t="shared" si="13"/>
        <v>69798.6637888642</v>
      </c>
      <c r="I54" s="476">
        <f t="shared" si="4"/>
        <v>0</v>
      </c>
      <c r="J54" s="476"/>
      <c r="K54" s="488"/>
      <c r="L54" s="479">
        <f t="shared" si="14"/>
        <v>0</v>
      </c>
      <c r="M54" s="488"/>
      <c r="N54" s="479">
        <f t="shared" si="5"/>
        <v>0</v>
      </c>
      <c r="O54" s="479">
        <f t="shared" si="6"/>
        <v>0</v>
      </c>
      <c r="P54" s="243"/>
    </row>
    <row r="55" spans="2:16" ht="12.5">
      <c r="B55" s="160" t="str">
        <f t="shared" si="3"/>
        <v/>
      </c>
      <c r="C55" s="473">
        <f>IF(D11="","-",+C54+1)</f>
        <v>2052</v>
      </c>
      <c r="D55" s="486">
        <f>IF(F54+SUM(E$17:E54)=D$10,F54,D$10-SUM(E$17:E54))</f>
        <v>237784.9095424095</v>
      </c>
      <c r="E55" s="485">
        <f t="shared" si="10"/>
        <v>40131.322093023256</v>
      </c>
      <c r="F55" s="486">
        <f t="shared" si="11"/>
        <v>197653.58744938625</v>
      </c>
      <c r="G55" s="487">
        <f t="shared" si="12"/>
        <v>65181.300939829933</v>
      </c>
      <c r="H55" s="456">
        <f t="shared" si="13"/>
        <v>65181.300939829933</v>
      </c>
      <c r="I55" s="476">
        <f t="shared" si="4"/>
        <v>0</v>
      </c>
      <c r="J55" s="476"/>
      <c r="K55" s="488"/>
      <c r="L55" s="479">
        <f t="shared" si="14"/>
        <v>0</v>
      </c>
      <c r="M55" s="488"/>
      <c r="N55" s="479">
        <f t="shared" si="5"/>
        <v>0</v>
      </c>
      <c r="O55" s="479">
        <f t="shared" si="6"/>
        <v>0</v>
      </c>
      <c r="P55" s="243"/>
    </row>
    <row r="56" spans="2:16" ht="12.5">
      <c r="B56" s="160" t="str">
        <f t="shared" si="3"/>
        <v/>
      </c>
      <c r="C56" s="473">
        <f>IF(D11="","-",+C55+1)</f>
        <v>2053</v>
      </c>
      <c r="D56" s="486">
        <f>IF(F55+SUM(E$17:E55)=D$10,F55,D$10-SUM(E$17:E55))</f>
        <v>197653.58744938625</v>
      </c>
      <c r="E56" s="485">
        <f t="shared" si="10"/>
        <v>40131.322093023256</v>
      </c>
      <c r="F56" s="486">
        <f t="shared" si="11"/>
        <v>157522.265356363</v>
      </c>
      <c r="G56" s="487">
        <f t="shared" si="12"/>
        <v>60563.938090795666</v>
      </c>
      <c r="H56" s="456">
        <f t="shared" si="13"/>
        <v>60563.938090795666</v>
      </c>
      <c r="I56" s="476">
        <f t="shared" si="4"/>
        <v>0</v>
      </c>
      <c r="J56" s="476"/>
      <c r="K56" s="488"/>
      <c r="L56" s="479">
        <f t="shared" si="14"/>
        <v>0</v>
      </c>
      <c r="M56" s="488"/>
      <c r="N56" s="479">
        <f t="shared" si="5"/>
        <v>0</v>
      </c>
      <c r="O56" s="479">
        <f t="shared" si="6"/>
        <v>0</v>
      </c>
      <c r="P56" s="243"/>
    </row>
    <row r="57" spans="2:16" ht="12.5">
      <c r="B57" s="160" t="str">
        <f t="shared" si="3"/>
        <v/>
      </c>
      <c r="C57" s="473">
        <f>IF(D11="","-",+C56+1)</f>
        <v>2054</v>
      </c>
      <c r="D57" s="486">
        <f>IF(F56+SUM(E$17:E56)=D$10,F56,D$10-SUM(E$17:E56))</f>
        <v>157522.265356363</v>
      </c>
      <c r="E57" s="485">
        <f t="shared" si="10"/>
        <v>40131.322093023256</v>
      </c>
      <c r="F57" s="486">
        <f t="shared" si="11"/>
        <v>117390.94326333975</v>
      </c>
      <c r="G57" s="487">
        <f t="shared" si="12"/>
        <v>55946.575241761399</v>
      </c>
      <c r="H57" s="456">
        <f t="shared" si="13"/>
        <v>55946.575241761399</v>
      </c>
      <c r="I57" s="476">
        <f t="shared" si="4"/>
        <v>0</v>
      </c>
      <c r="J57" s="476"/>
      <c r="K57" s="488"/>
      <c r="L57" s="479">
        <f t="shared" si="14"/>
        <v>0</v>
      </c>
      <c r="M57" s="488"/>
      <c r="N57" s="479">
        <f t="shared" si="5"/>
        <v>0</v>
      </c>
      <c r="O57" s="479">
        <f t="shared" si="6"/>
        <v>0</v>
      </c>
      <c r="P57" s="243"/>
    </row>
    <row r="58" spans="2:16" ht="12.5">
      <c r="B58" s="160" t="str">
        <f t="shared" si="3"/>
        <v/>
      </c>
      <c r="C58" s="473">
        <f>IF(D11="","-",+C57+1)</f>
        <v>2055</v>
      </c>
      <c r="D58" s="486">
        <f>IF(F57+SUM(E$17:E57)=D$10,F57,D$10-SUM(E$17:E57))</f>
        <v>117390.94326333975</v>
      </c>
      <c r="E58" s="485">
        <f t="shared" si="10"/>
        <v>40131.322093023256</v>
      </c>
      <c r="F58" s="486">
        <f t="shared" si="11"/>
        <v>77259.621170316503</v>
      </c>
      <c r="G58" s="487">
        <f t="shared" si="12"/>
        <v>51329.212392727139</v>
      </c>
      <c r="H58" s="456">
        <f t="shared" si="13"/>
        <v>51329.212392727139</v>
      </c>
      <c r="I58" s="476">
        <f t="shared" si="4"/>
        <v>0</v>
      </c>
      <c r="J58" s="476"/>
      <c r="K58" s="488"/>
      <c r="L58" s="479">
        <f t="shared" si="14"/>
        <v>0</v>
      </c>
      <c r="M58" s="488"/>
      <c r="N58" s="479">
        <f t="shared" si="5"/>
        <v>0</v>
      </c>
      <c r="O58" s="479">
        <f t="shared" si="6"/>
        <v>0</v>
      </c>
      <c r="P58" s="243"/>
    </row>
    <row r="59" spans="2:16" ht="12.5">
      <c r="B59" s="160" t="str">
        <f t="shared" si="3"/>
        <v/>
      </c>
      <c r="C59" s="473">
        <f>IF(D11="","-",+C58+1)</f>
        <v>2056</v>
      </c>
      <c r="D59" s="486">
        <f>IF(F58+SUM(E$17:E58)=D$10,F58,D$10-SUM(E$17:E58))</f>
        <v>77259.621170316503</v>
      </c>
      <c r="E59" s="485">
        <f t="shared" si="10"/>
        <v>40131.322093023256</v>
      </c>
      <c r="F59" s="486">
        <f t="shared" si="11"/>
        <v>37128.299077293246</v>
      </c>
      <c r="G59" s="487">
        <f t="shared" si="12"/>
        <v>46711.849543692879</v>
      </c>
      <c r="H59" s="456">
        <f t="shared" si="13"/>
        <v>46711.849543692879</v>
      </c>
      <c r="I59" s="476">
        <f t="shared" si="4"/>
        <v>0</v>
      </c>
      <c r="J59" s="476"/>
      <c r="K59" s="488"/>
      <c r="L59" s="479">
        <f t="shared" si="14"/>
        <v>0</v>
      </c>
      <c r="M59" s="488"/>
      <c r="N59" s="479">
        <f t="shared" si="5"/>
        <v>0</v>
      </c>
      <c r="O59" s="479">
        <f t="shared" si="6"/>
        <v>0</v>
      </c>
      <c r="P59" s="243"/>
    </row>
    <row r="60" spans="2:16" ht="12.5">
      <c r="B60" s="160" t="str">
        <f t="shared" si="3"/>
        <v/>
      </c>
      <c r="C60" s="473">
        <f>IF(D11="","-",+C59+1)</f>
        <v>2057</v>
      </c>
      <c r="D60" s="486">
        <f>IF(F59+SUM(E$17:E59)=D$10,F59,D$10-SUM(E$17:E59))</f>
        <v>37128.299077293246</v>
      </c>
      <c r="E60" s="485">
        <f t="shared" si="10"/>
        <v>37128.299077293246</v>
      </c>
      <c r="F60" s="486">
        <f t="shared" si="11"/>
        <v>0</v>
      </c>
      <c r="G60" s="487">
        <f t="shared" si="12"/>
        <v>39264.222090369491</v>
      </c>
      <c r="H60" s="456">
        <f t="shared" si="13"/>
        <v>39264.222090369491</v>
      </c>
      <c r="I60" s="476">
        <f t="shared" si="4"/>
        <v>0</v>
      </c>
      <c r="J60" s="476"/>
      <c r="K60" s="488"/>
      <c r="L60" s="479">
        <f t="shared" si="14"/>
        <v>0</v>
      </c>
      <c r="M60" s="488"/>
      <c r="N60" s="479">
        <f t="shared" si="5"/>
        <v>0</v>
      </c>
      <c r="O60" s="479">
        <f t="shared" si="6"/>
        <v>0</v>
      </c>
      <c r="P60" s="243"/>
    </row>
    <row r="61" spans="2:16" ht="12.5">
      <c r="B61" s="160" t="str">
        <f t="shared" si="3"/>
        <v/>
      </c>
      <c r="C61" s="473">
        <f>IF(D11="","-",+C60+1)</f>
        <v>2058</v>
      </c>
      <c r="D61" s="486">
        <f>IF(F60+SUM(E$17:E60)=D$10,F60,D$10-SUM(E$17:E60))</f>
        <v>0</v>
      </c>
      <c r="E61" s="485">
        <f t="shared" si="10"/>
        <v>0</v>
      </c>
      <c r="F61" s="486">
        <f t="shared" si="11"/>
        <v>0</v>
      </c>
      <c r="G61" s="487">
        <f t="shared" si="12"/>
        <v>0</v>
      </c>
      <c r="H61" s="456">
        <f t="shared" si="13"/>
        <v>0</v>
      </c>
      <c r="I61" s="476">
        <f t="shared" si="4"/>
        <v>0</v>
      </c>
      <c r="J61" s="476"/>
      <c r="K61" s="488"/>
      <c r="L61" s="479">
        <f t="shared" si="14"/>
        <v>0</v>
      </c>
      <c r="M61" s="488"/>
      <c r="N61" s="479">
        <f t="shared" si="5"/>
        <v>0</v>
      </c>
      <c r="O61" s="479">
        <f t="shared" si="6"/>
        <v>0</v>
      </c>
      <c r="P61" s="243"/>
    </row>
    <row r="62" spans="2:16" ht="12.5">
      <c r="B62" s="160" t="str">
        <f t="shared" si="3"/>
        <v/>
      </c>
      <c r="C62" s="473">
        <f>IF(D11="","-",+C61+1)</f>
        <v>2059</v>
      </c>
      <c r="D62" s="486">
        <f>IF(F61+SUM(E$17:E61)=D$10,F61,D$10-SUM(E$17:E61))</f>
        <v>0</v>
      </c>
      <c r="E62" s="485">
        <f t="shared" si="10"/>
        <v>0</v>
      </c>
      <c r="F62" s="486">
        <f t="shared" si="11"/>
        <v>0</v>
      </c>
      <c r="G62" s="487">
        <f t="shared" si="12"/>
        <v>0</v>
      </c>
      <c r="H62" s="456">
        <f t="shared" si="13"/>
        <v>0</v>
      </c>
      <c r="I62" s="476">
        <f t="shared" si="4"/>
        <v>0</v>
      </c>
      <c r="J62" s="476"/>
      <c r="K62" s="488"/>
      <c r="L62" s="479">
        <f t="shared" si="14"/>
        <v>0</v>
      </c>
      <c r="M62" s="488"/>
      <c r="N62" s="479">
        <f t="shared" si="5"/>
        <v>0</v>
      </c>
      <c r="O62" s="479">
        <f t="shared" si="6"/>
        <v>0</v>
      </c>
      <c r="P62" s="243"/>
    </row>
    <row r="63" spans="2:16" ht="12.5">
      <c r="B63" s="160" t="str">
        <f t="shared" si="3"/>
        <v/>
      </c>
      <c r="C63" s="473">
        <f>IF(D11="","-",+C62+1)</f>
        <v>2060</v>
      </c>
      <c r="D63" s="486">
        <f>IF(F62+SUM(E$17:E62)=D$10,F62,D$10-SUM(E$17:E62))</f>
        <v>0</v>
      </c>
      <c r="E63" s="485">
        <f t="shared" si="10"/>
        <v>0</v>
      </c>
      <c r="F63" s="486">
        <f t="shared" si="11"/>
        <v>0</v>
      </c>
      <c r="G63" s="487">
        <f t="shared" si="12"/>
        <v>0</v>
      </c>
      <c r="H63" s="456">
        <f t="shared" si="13"/>
        <v>0</v>
      </c>
      <c r="I63" s="476">
        <f t="shared" si="4"/>
        <v>0</v>
      </c>
      <c r="J63" s="476"/>
      <c r="K63" s="488"/>
      <c r="L63" s="479">
        <f t="shared" si="14"/>
        <v>0</v>
      </c>
      <c r="M63" s="488"/>
      <c r="N63" s="479">
        <f t="shared" si="5"/>
        <v>0</v>
      </c>
      <c r="O63" s="479">
        <f t="shared" si="6"/>
        <v>0</v>
      </c>
      <c r="P63" s="243"/>
    </row>
    <row r="64" spans="2:16" ht="12.5">
      <c r="B64" s="160" t="str">
        <f t="shared" si="3"/>
        <v/>
      </c>
      <c r="C64" s="473">
        <f>IF(D11="","-",+C63+1)</f>
        <v>2061</v>
      </c>
      <c r="D64" s="486">
        <f>IF(F63+SUM(E$17:E63)=D$10,F63,D$10-SUM(E$17:E63))</f>
        <v>0</v>
      </c>
      <c r="E64" s="485">
        <f t="shared" si="10"/>
        <v>0</v>
      </c>
      <c r="F64" s="486">
        <f t="shared" si="11"/>
        <v>0</v>
      </c>
      <c r="G64" s="487">
        <f t="shared" si="12"/>
        <v>0</v>
      </c>
      <c r="H64" s="456">
        <f t="shared" si="13"/>
        <v>0</v>
      </c>
      <c r="I64" s="476">
        <f t="shared" si="4"/>
        <v>0</v>
      </c>
      <c r="J64" s="476"/>
      <c r="K64" s="488"/>
      <c r="L64" s="479">
        <f t="shared" si="14"/>
        <v>0</v>
      </c>
      <c r="M64" s="488"/>
      <c r="N64" s="479">
        <f t="shared" si="5"/>
        <v>0</v>
      </c>
      <c r="O64" s="479">
        <f t="shared" si="6"/>
        <v>0</v>
      </c>
      <c r="P64" s="243"/>
    </row>
    <row r="65" spans="2:16" ht="12.5">
      <c r="B65" s="160" t="str">
        <f t="shared" si="3"/>
        <v/>
      </c>
      <c r="C65" s="473">
        <f>IF(D11="","-",+C64+1)</f>
        <v>2062</v>
      </c>
      <c r="D65" s="486">
        <f>IF(F64+SUM(E$17:E64)=D$10,F64,D$10-SUM(E$17:E64))</f>
        <v>0</v>
      </c>
      <c r="E65" s="485">
        <f t="shared" si="10"/>
        <v>0</v>
      </c>
      <c r="F65" s="486">
        <f t="shared" si="11"/>
        <v>0</v>
      </c>
      <c r="G65" s="487">
        <f t="shared" si="12"/>
        <v>0</v>
      </c>
      <c r="H65" s="456">
        <f t="shared" si="13"/>
        <v>0</v>
      </c>
      <c r="I65" s="476">
        <f t="shared" si="4"/>
        <v>0</v>
      </c>
      <c r="J65" s="476"/>
      <c r="K65" s="488"/>
      <c r="L65" s="479">
        <f t="shared" si="14"/>
        <v>0</v>
      </c>
      <c r="M65" s="488"/>
      <c r="N65" s="479">
        <f t="shared" si="5"/>
        <v>0</v>
      </c>
      <c r="O65" s="479">
        <f t="shared" si="6"/>
        <v>0</v>
      </c>
      <c r="P65" s="243"/>
    </row>
    <row r="66" spans="2:16" ht="12.5">
      <c r="B66" s="160" t="str">
        <f t="shared" si="3"/>
        <v/>
      </c>
      <c r="C66" s="473">
        <f>IF(D11="","-",+C65+1)</f>
        <v>2063</v>
      </c>
      <c r="D66" s="486">
        <f>IF(F65+SUM(E$17:E65)=D$10,F65,D$10-SUM(E$17:E65))</f>
        <v>0</v>
      </c>
      <c r="E66" s="485">
        <f t="shared" si="10"/>
        <v>0</v>
      </c>
      <c r="F66" s="486">
        <f t="shared" si="11"/>
        <v>0</v>
      </c>
      <c r="G66" s="487">
        <f t="shared" si="12"/>
        <v>0</v>
      </c>
      <c r="H66" s="456">
        <f t="shared" si="13"/>
        <v>0</v>
      </c>
      <c r="I66" s="476">
        <f t="shared" si="4"/>
        <v>0</v>
      </c>
      <c r="J66" s="476"/>
      <c r="K66" s="488"/>
      <c r="L66" s="479">
        <f t="shared" si="14"/>
        <v>0</v>
      </c>
      <c r="M66" s="488"/>
      <c r="N66" s="479">
        <f t="shared" si="5"/>
        <v>0</v>
      </c>
      <c r="O66" s="479">
        <f t="shared" si="6"/>
        <v>0</v>
      </c>
      <c r="P66" s="243"/>
    </row>
    <row r="67" spans="2:16" ht="12.5">
      <c r="B67" s="160" t="str">
        <f t="shared" si="3"/>
        <v/>
      </c>
      <c r="C67" s="473">
        <f>IF(D11="","-",+C66+1)</f>
        <v>2064</v>
      </c>
      <c r="D67" s="486">
        <f>IF(F66+SUM(E$17:E66)=D$10,F66,D$10-SUM(E$17:E66))</f>
        <v>0</v>
      </c>
      <c r="E67" s="485">
        <f t="shared" si="10"/>
        <v>0</v>
      </c>
      <c r="F67" s="486">
        <f t="shared" si="11"/>
        <v>0</v>
      </c>
      <c r="G67" s="487">
        <f t="shared" si="12"/>
        <v>0</v>
      </c>
      <c r="H67" s="456">
        <f t="shared" si="13"/>
        <v>0</v>
      </c>
      <c r="I67" s="476">
        <f t="shared" si="4"/>
        <v>0</v>
      </c>
      <c r="J67" s="476"/>
      <c r="K67" s="488"/>
      <c r="L67" s="479">
        <f t="shared" si="14"/>
        <v>0</v>
      </c>
      <c r="M67" s="488"/>
      <c r="N67" s="479">
        <f t="shared" si="5"/>
        <v>0</v>
      </c>
      <c r="O67" s="479">
        <f t="shared" si="6"/>
        <v>0</v>
      </c>
      <c r="P67" s="243"/>
    </row>
    <row r="68" spans="2:16" ht="12.5">
      <c r="B68" s="160" t="str">
        <f t="shared" si="3"/>
        <v/>
      </c>
      <c r="C68" s="473">
        <f>IF(D11="","-",+C67+1)</f>
        <v>2065</v>
      </c>
      <c r="D68" s="486">
        <f>IF(F67+SUM(E$17:E67)=D$10,F67,D$10-SUM(E$17:E67))</f>
        <v>0</v>
      </c>
      <c r="E68" s="485">
        <f t="shared" si="10"/>
        <v>0</v>
      </c>
      <c r="F68" s="486">
        <f t="shared" si="11"/>
        <v>0</v>
      </c>
      <c r="G68" s="487">
        <f t="shared" si="12"/>
        <v>0</v>
      </c>
      <c r="H68" s="456">
        <f t="shared" si="13"/>
        <v>0</v>
      </c>
      <c r="I68" s="476">
        <f t="shared" si="4"/>
        <v>0</v>
      </c>
      <c r="J68" s="476"/>
      <c r="K68" s="488"/>
      <c r="L68" s="479">
        <f t="shared" si="14"/>
        <v>0</v>
      </c>
      <c r="M68" s="488"/>
      <c r="N68" s="479">
        <f t="shared" si="5"/>
        <v>0</v>
      </c>
      <c r="O68" s="479">
        <f t="shared" si="6"/>
        <v>0</v>
      </c>
      <c r="P68" s="243"/>
    </row>
    <row r="69" spans="2:16" ht="12.5">
      <c r="B69" s="160" t="str">
        <f t="shared" si="3"/>
        <v/>
      </c>
      <c r="C69" s="473">
        <f>IF(D11="","-",+C68+1)</f>
        <v>2066</v>
      </c>
      <c r="D69" s="486">
        <f>IF(F68+SUM(E$17:E68)=D$10,F68,D$10-SUM(E$17:E68))</f>
        <v>0</v>
      </c>
      <c r="E69" s="485">
        <f t="shared" si="10"/>
        <v>0</v>
      </c>
      <c r="F69" s="486">
        <f t="shared" si="11"/>
        <v>0</v>
      </c>
      <c r="G69" s="487">
        <f t="shared" si="12"/>
        <v>0</v>
      </c>
      <c r="H69" s="456">
        <f t="shared" si="13"/>
        <v>0</v>
      </c>
      <c r="I69" s="476">
        <f t="shared" si="4"/>
        <v>0</v>
      </c>
      <c r="J69" s="476"/>
      <c r="K69" s="488"/>
      <c r="L69" s="479">
        <f t="shared" si="14"/>
        <v>0</v>
      </c>
      <c r="M69" s="488"/>
      <c r="N69" s="479">
        <f t="shared" si="5"/>
        <v>0</v>
      </c>
      <c r="O69" s="479">
        <f t="shared" si="6"/>
        <v>0</v>
      </c>
      <c r="P69" s="243"/>
    </row>
    <row r="70" spans="2:16" ht="12.5">
      <c r="B70" s="160" t="str">
        <f t="shared" si="3"/>
        <v/>
      </c>
      <c r="C70" s="473">
        <f>IF(D11="","-",+C69+1)</f>
        <v>2067</v>
      </c>
      <c r="D70" s="486">
        <f>IF(F69+SUM(E$17:E69)=D$10,F69,D$10-SUM(E$17:E69))</f>
        <v>0</v>
      </c>
      <c r="E70" s="485">
        <f t="shared" si="10"/>
        <v>0</v>
      </c>
      <c r="F70" s="486">
        <f t="shared" si="11"/>
        <v>0</v>
      </c>
      <c r="G70" s="487">
        <f t="shared" si="12"/>
        <v>0</v>
      </c>
      <c r="H70" s="456">
        <f t="shared" si="13"/>
        <v>0</v>
      </c>
      <c r="I70" s="476">
        <f t="shared" si="4"/>
        <v>0</v>
      </c>
      <c r="J70" s="476"/>
      <c r="K70" s="488"/>
      <c r="L70" s="479">
        <f t="shared" si="14"/>
        <v>0</v>
      </c>
      <c r="M70" s="488"/>
      <c r="N70" s="479">
        <f t="shared" si="5"/>
        <v>0</v>
      </c>
      <c r="O70" s="479">
        <f t="shared" si="6"/>
        <v>0</v>
      </c>
      <c r="P70" s="243"/>
    </row>
    <row r="71" spans="2:16" ht="12.5">
      <c r="B71" s="160" t="str">
        <f t="shared" si="3"/>
        <v/>
      </c>
      <c r="C71" s="473">
        <f>IF(D11="","-",+C70+1)</f>
        <v>2068</v>
      </c>
      <c r="D71" s="486">
        <f>IF(F70+SUM(E$17:E70)=D$10,F70,D$10-SUM(E$17:E70))</f>
        <v>0</v>
      </c>
      <c r="E71" s="485">
        <f t="shared" si="10"/>
        <v>0</v>
      </c>
      <c r="F71" s="486">
        <f t="shared" si="11"/>
        <v>0</v>
      </c>
      <c r="G71" s="487">
        <f t="shared" si="12"/>
        <v>0</v>
      </c>
      <c r="H71" s="456">
        <f t="shared" si="13"/>
        <v>0</v>
      </c>
      <c r="I71" s="476">
        <f t="shared" si="4"/>
        <v>0</v>
      </c>
      <c r="J71" s="476"/>
      <c r="K71" s="488"/>
      <c r="L71" s="479">
        <f t="shared" si="14"/>
        <v>0</v>
      </c>
      <c r="M71" s="488"/>
      <c r="N71" s="479">
        <f t="shared" si="5"/>
        <v>0</v>
      </c>
      <c r="O71" s="479">
        <f t="shared" si="6"/>
        <v>0</v>
      </c>
      <c r="P71" s="243"/>
    </row>
    <row r="72" spans="2:16" ht="13" thickBot="1">
      <c r="B72" s="160" t="str">
        <f t="shared" si="3"/>
        <v/>
      </c>
      <c r="C72" s="490">
        <f>IF(D11="","-",+C71+1)</f>
        <v>2069</v>
      </c>
      <c r="D72" s="491">
        <f>IF(F71+SUM(E$17:E71)=D$10,F71,D$10-SUM(E$17:E71))</f>
        <v>0</v>
      </c>
      <c r="E72" s="492">
        <f t="shared" si="10"/>
        <v>0</v>
      </c>
      <c r="F72" s="491">
        <f t="shared" si="11"/>
        <v>0</v>
      </c>
      <c r="G72" s="491">
        <f t="shared" si="12"/>
        <v>0</v>
      </c>
      <c r="H72" s="491">
        <f t="shared" si="13"/>
        <v>0</v>
      </c>
      <c r="I72" s="494">
        <f t="shared" si="4"/>
        <v>0</v>
      </c>
      <c r="J72" s="476"/>
      <c r="K72" s="495"/>
      <c r="L72" s="496">
        <f t="shared" si="14"/>
        <v>0</v>
      </c>
      <c r="M72" s="495"/>
      <c r="N72" s="496">
        <f t="shared" si="5"/>
        <v>0</v>
      </c>
      <c r="O72" s="496">
        <f t="shared" si="6"/>
        <v>0</v>
      </c>
      <c r="P72" s="243"/>
    </row>
    <row r="73" spans="2:16" ht="12.5">
      <c r="C73" s="347" t="s">
        <v>77</v>
      </c>
      <c r="D73" s="348"/>
      <c r="E73" s="348">
        <f>SUM(E17:E72)</f>
        <v>1725646.85</v>
      </c>
      <c r="F73" s="348"/>
      <c r="G73" s="348">
        <f>SUM(G17:G72)</f>
        <v>6336388.7790147988</v>
      </c>
      <c r="H73" s="348">
        <f>SUM(H17:H72)</f>
        <v>6336388.7790147988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18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203353.13199328393</v>
      </c>
      <c r="N87" s="509">
        <f>IF(J92&lt;D11,0,VLOOKUP(J92,C17:O72,11))</f>
        <v>203353.13199328393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214872.45782422918</v>
      </c>
      <c r="N88" s="513">
        <f>IF(J92&lt;D11,0,VLOOKUP(J92,C99:P154,7))</f>
        <v>214872.45782422918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Darlington-Red Rock 138 kV line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11519.32583094525</v>
      </c>
      <c r="N89" s="518">
        <f>+N88-N87</f>
        <v>11519.32583094525</v>
      </c>
      <c r="O89" s="519">
        <f>+O88-O87</f>
        <v>0</v>
      </c>
      <c r="P89" s="233"/>
    </row>
    <row r="90" spans="1:16" ht="13.5" thickBot="1">
      <c r="C90" s="497"/>
      <c r="D90" s="612" t="s">
        <v>274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TP2012112</v>
      </c>
      <c r="E91" s="523" t="str">
        <f>E9</f>
        <v xml:space="preserve">  SPP Project ID = 30346</v>
      </c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610">
        <v>1725647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2014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4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40131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2014</v>
      </c>
      <c r="D99" s="585"/>
      <c r="E99" s="586"/>
      <c r="F99" s="587"/>
      <c r="G99" s="606"/>
      <c r="H99" s="607"/>
      <c r="I99" s="608"/>
      <c r="J99" s="479">
        <v>0</v>
      </c>
      <c r="K99" s="479"/>
      <c r="L99" s="477">
        <f t="shared" ref="L99:L104" si="15">H99</f>
        <v>0</v>
      </c>
      <c r="M99" s="349">
        <f t="shared" ref="M99:M104" si="16">IF(L99&lt;&gt;0,+H99-L99,0)</f>
        <v>0</v>
      </c>
      <c r="N99" s="477">
        <f t="shared" ref="N99:N104" si="17">I99</f>
        <v>0</v>
      </c>
      <c r="O99" s="476">
        <f>IF(N99&lt;&gt;0,+I99-N99,0)</f>
        <v>0</v>
      </c>
      <c r="P99" s="479">
        <f>+O99-M99</f>
        <v>0</v>
      </c>
    </row>
    <row r="100" spans="1:16" ht="12.5">
      <c r="B100" s="160" t="str">
        <f>IF(D100=F99,"","IU")</f>
        <v>IU</v>
      </c>
      <c r="C100" s="473">
        <f>IF(D93="","-",+C99+1)</f>
        <v>2015</v>
      </c>
      <c r="D100" s="585">
        <v>1703523.1724358976</v>
      </c>
      <c r="E100" s="586">
        <v>32760</v>
      </c>
      <c r="F100" s="587">
        <v>1670763.1724358976</v>
      </c>
      <c r="G100" s="587">
        <v>1687143.1724358976</v>
      </c>
      <c r="H100" s="607">
        <v>262957.1205792831</v>
      </c>
      <c r="I100" s="608">
        <v>262957.1205792831</v>
      </c>
      <c r="J100" s="479">
        <f>+I100-H100</f>
        <v>0</v>
      </c>
      <c r="K100" s="479"/>
      <c r="L100" s="477">
        <f t="shared" si="15"/>
        <v>262957.1205792831</v>
      </c>
      <c r="M100" s="349">
        <f t="shared" si="16"/>
        <v>0</v>
      </c>
      <c r="N100" s="477">
        <f t="shared" si="17"/>
        <v>262957.1205792831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8">IF(D101=F100,"","IU")</f>
        <v>IU</v>
      </c>
      <c r="C101" s="473">
        <f>IF(D93="","-",+C100+1)</f>
        <v>2016</v>
      </c>
      <c r="D101" s="585">
        <v>1692887</v>
      </c>
      <c r="E101" s="586">
        <v>37514</v>
      </c>
      <c r="F101" s="587">
        <v>1655373</v>
      </c>
      <c r="G101" s="587">
        <v>1674130</v>
      </c>
      <c r="H101" s="607">
        <v>250555.65084872485</v>
      </c>
      <c r="I101" s="608">
        <v>250555.65084872485</v>
      </c>
      <c r="J101" s="479">
        <f t="shared" ref="J101:J154" si="19">+I101-H101</f>
        <v>0</v>
      </c>
      <c r="K101" s="479"/>
      <c r="L101" s="477">
        <f t="shared" si="15"/>
        <v>250555.65084872485</v>
      </c>
      <c r="M101" s="349">
        <f t="shared" si="16"/>
        <v>0</v>
      </c>
      <c r="N101" s="477">
        <f t="shared" si="17"/>
        <v>250555.65084872485</v>
      </c>
      <c r="O101" s="476">
        <f>IF(N101&lt;&gt;0,+I101-N101,0)</f>
        <v>0</v>
      </c>
      <c r="P101" s="479">
        <f>+O101-M101</f>
        <v>0</v>
      </c>
    </row>
    <row r="102" spans="1:16" ht="12.5">
      <c r="B102" s="160" t="str">
        <f t="shared" si="18"/>
        <v/>
      </c>
      <c r="C102" s="473">
        <f>IF(D93="","-",+C101+1)</f>
        <v>2017</v>
      </c>
      <c r="D102" s="585">
        <v>1655373</v>
      </c>
      <c r="E102" s="586">
        <v>37514</v>
      </c>
      <c r="F102" s="587">
        <v>1617859</v>
      </c>
      <c r="G102" s="587">
        <v>1636616</v>
      </c>
      <c r="H102" s="607">
        <v>245122.86632871011</v>
      </c>
      <c r="I102" s="608">
        <v>245122.86632871011</v>
      </c>
      <c r="J102" s="479">
        <f t="shared" si="19"/>
        <v>0</v>
      </c>
      <c r="K102" s="479"/>
      <c r="L102" s="477">
        <f t="shared" si="15"/>
        <v>245122.86632871011</v>
      </c>
      <c r="M102" s="349">
        <f t="shared" si="16"/>
        <v>0</v>
      </c>
      <c r="N102" s="477">
        <f t="shared" si="17"/>
        <v>245122.86632871011</v>
      </c>
      <c r="O102" s="476">
        <f>IF(N102&lt;&gt;0,+I102-N102,0)</f>
        <v>0</v>
      </c>
      <c r="P102" s="479">
        <f>+O102-M102</f>
        <v>0</v>
      </c>
    </row>
    <row r="103" spans="1:16" ht="12.5">
      <c r="B103" s="160" t="str">
        <f t="shared" si="18"/>
        <v/>
      </c>
      <c r="C103" s="473">
        <f>IF(D93="","-",+C102+1)</f>
        <v>2018</v>
      </c>
      <c r="D103" s="585">
        <v>1617859</v>
      </c>
      <c r="E103" s="586">
        <v>40131</v>
      </c>
      <c r="F103" s="587">
        <v>1577728</v>
      </c>
      <c r="G103" s="587">
        <v>1597793.5</v>
      </c>
      <c r="H103" s="607">
        <v>204281.22089486517</v>
      </c>
      <c r="I103" s="608">
        <v>204281.22089486517</v>
      </c>
      <c r="J103" s="479">
        <f t="shared" si="19"/>
        <v>0</v>
      </c>
      <c r="K103" s="479"/>
      <c r="L103" s="477">
        <f t="shared" si="15"/>
        <v>204281.22089486517</v>
      </c>
      <c r="M103" s="349">
        <f t="shared" si="16"/>
        <v>0</v>
      </c>
      <c r="N103" s="477">
        <f t="shared" si="17"/>
        <v>204281.22089486517</v>
      </c>
      <c r="O103" s="476">
        <f>IF(N103&lt;&gt;0,+I103-N103,0)</f>
        <v>0</v>
      </c>
      <c r="P103" s="479">
        <f>+O103-M103</f>
        <v>0</v>
      </c>
    </row>
    <row r="104" spans="1:16" ht="12.5">
      <c r="B104" s="160" t="str">
        <f t="shared" si="18"/>
        <v/>
      </c>
      <c r="C104" s="473">
        <f>IF(D93="","-",+C103+1)</f>
        <v>2019</v>
      </c>
      <c r="D104" s="585">
        <v>1577728</v>
      </c>
      <c r="E104" s="586">
        <v>42089</v>
      </c>
      <c r="F104" s="587">
        <v>1535639</v>
      </c>
      <c r="G104" s="587">
        <v>1556683.5</v>
      </c>
      <c r="H104" s="607">
        <v>202604.90301828689</v>
      </c>
      <c r="I104" s="608">
        <v>202604.90301828689</v>
      </c>
      <c r="J104" s="479">
        <f t="shared" si="19"/>
        <v>0</v>
      </c>
      <c r="K104" s="479"/>
      <c r="L104" s="477">
        <f t="shared" si="15"/>
        <v>202604.90301828689</v>
      </c>
      <c r="M104" s="349">
        <f t="shared" si="16"/>
        <v>0</v>
      </c>
      <c r="N104" s="477">
        <f t="shared" si="17"/>
        <v>202604.90301828689</v>
      </c>
      <c r="O104" s="479">
        <f t="shared" ref="O104:O130" si="20">IF(N104&lt;&gt;0,+I104-N104,0)</f>
        <v>0</v>
      </c>
      <c r="P104" s="479">
        <f t="shared" ref="P104:P130" si="21">+O104-M104</f>
        <v>0</v>
      </c>
    </row>
    <row r="105" spans="1:16" ht="12.5">
      <c r="B105" s="160" t="str">
        <f t="shared" si="18"/>
        <v/>
      </c>
      <c r="C105" s="473">
        <f>IF(D93="","-",+C104+1)</f>
        <v>2020</v>
      </c>
      <c r="D105" s="347">
        <f>IF(F104+SUM(E$99:E104)=D$92,F104,D$92-SUM(E$99:E104))</f>
        <v>1535639</v>
      </c>
      <c r="E105" s="485">
        <f t="shared" ref="E105:E154" si="22">IF(+J$96&lt;F104,J$96,D105)</f>
        <v>40131</v>
      </c>
      <c r="F105" s="486">
        <f t="shared" ref="F105:F154" si="23">+D105-E105</f>
        <v>1495508</v>
      </c>
      <c r="G105" s="486">
        <f t="shared" ref="G105:G154" si="24">+(F105+D105)/2</f>
        <v>1515573.5</v>
      </c>
      <c r="H105" s="487">
        <f>(D105+F105)/2*J$94+E105</f>
        <v>214872.45782422918</v>
      </c>
      <c r="I105" s="543">
        <f t="shared" ref="I105:I154" si="25">+J$95*G105+E105</f>
        <v>214872.45782422918</v>
      </c>
      <c r="J105" s="479">
        <f t="shared" si="19"/>
        <v>0</v>
      </c>
      <c r="K105" s="479"/>
      <c r="L105" s="488"/>
      <c r="M105" s="479">
        <f t="shared" ref="M105:M130" si="26">IF(L105&lt;&gt;0,+H105-L105,0)</f>
        <v>0</v>
      </c>
      <c r="N105" s="488"/>
      <c r="O105" s="479">
        <f t="shared" si="20"/>
        <v>0</v>
      </c>
      <c r="P105" s="479">
        <f t="shared" si="21"/>
        <v>0</v>
      </c>
    </row>
    <row r="106" spans="1:16" ht="12.5">
      <c r="B106" s="160" t="str">
        <f t="shared" si="18"/>
        <v/>
      </c>
      <c r="C106" s="473">
        <f>IF(D93="","-",+C105+1)</f>
        <v>2021</v>
      </c>
      <c r="D106" s="347">
        <f>IF(F105+SUM(E$99:E105)=D$92,F105,D$92-SUM(E$99:E105))</f>
        <v>1495508</v>
      </c>
      <c r="E106" s="485">
        <f t="shared" si="22"/>
        <v>40131</v>
      </c>
      <c r="F106" s="486">
        <f t="shared" si="23"/>
        <v>1455377</v>
      </c>
      <c r="G106" s="486">
        <f t="shared" si="24"/>
        <v>1475442.5</v>
      </c>
      <c r="H106" s="487">
        <f t="shared" ref="H106:H153" si="27">(D106+F106)/2*J$94+E106</f>
        <v>210245.46385531631</v>
      </c>
      <c r="I106" s="543">
        <f t="shared" ref="I106:I153" si="28">+J$95*G106+E106</f>
        <v>210245.46385531631</v>
      </c>
      <c r="J106" s="479">
        <f t="shared" si="19"/>
        <v>0</v>
      </c>
      <c r="K106" s="479"/>
      <c r="L106" s="488"/>
      <c r="M106" s="479">
        <f t="shared" si="26"/>
        <v>0</v>
      </c>
      <c r="N106" s="488"/>
      <c r="O106" s="479">
        <f t="shared" si="20"/>
        <v>0</v>
      </c>
      <c r="P106" s="479">
        <f t="shared" si="21"/>
        <v>0</v>
      </c>
    </row>
    <row r="107" spans="1:16" ht="12.5">
      <c r="B107" s="160" t="str">
        <f t="shared" si="18"/>
        <v/>
      </c>
      <c r="C107" s="473">
        <f>IF(D93="","-",+C106+1)</f>
        <v>2022</v>
      </c>
      <c r="D107" s="347">
        <f>IF(F106+SUM(E$99:E106)=D$92,F106,D$92-SUM(E$99:E106))</f>
        <v>1455377</v>
      </c>
      <c r="E107" s="485">
        <f t="shared" si="22"/>
        <v>40131</v>
      </c>
      <c r="F107" s="486">
        <f t="shared" si="23"/>
        <v>1415246</v>
      </c>
      <c r="G107" s="486">
        <f t="shared" si="24"/>
        <v>1435311.5</v>
      </c>
      <c r="H107" s="487">
        <f t="shared" si="27"/>
        <v>205618.46988640347</v>
      </c>
      <c r="I107" s="543">
        <f t="shared" si="28"/>
        <v>205618.46988640347</v>
      </c>
      <c r="J107" s="479">
        <f t="shared" si="19"/>
        <v>0</v>
      </c>
      <c r="K107" s="479"/>
      <c r="L107" s="488"/>
      <c r="M107" s="479">
        <f t="shared" si="26"/>
        <v>0</v>
      </c>
      <c r="N107" s="488"/>
      <c r="O107" s="479">
        <f t="shared" si="20"/>
        <v>0</v>
      </c>
      <c r="P107" s="479">
        <f t="shared" si="21"/>
        <v>0</v>
      </c>
    </row>
    <row r="108" spans="1:16" ht="12.5">
      <c r="B108" s="160" t="str">
        <f t="shared" si="18"/>
        <v/>
      </c>
      <c r="C108" s="473">
        <f>IF(D93="","-",+C107+1)</f>
        <v>2023</v>
      </c>
      <c r="D108" s="347">
        <f>IF(F107+SUM(E$99:E107)=D$92,F107,D$92-SUM(E$99:E107))</f>
        <v>1415246</v>
      </c>
      <c r="E108" s="485">
        <f t="shared" si="22"/>
        <v>40131</v>
      </c>
      <c r="F108" s="486">
        <f t="shared" si="23"/>
        <v>1375115</v>
      </c>
      <c r="G108" s="486">
        <f t="shared" si="24"/>
        <v>1395180.5</v>
      </c>
      <c r="H108" s="487">
        <f t="shared" si="27"/>
        <v>200991.47591749061</v>
      </c>
      <c r="I108" s="543">
        <f t="shared" si="28"/>
        <v>200991.47591749061</v>
      </c>
      <c r="J108" s="479">
        <f t="shared" si="19"/>
        <v>0</v>
      </c>
      <c r="K108" s="479"/>
      <c r="L108" s="488"/>
      <c r="M108" s="479">
        <f t="shared" si="26"/>
        <v>0</v>
      </c>
      <c r="N108" s="488"/>
      <c r="O108" s="479">
        <f t="shared" si="20"/>
        <v>0</v>
      </c>
      <c r="P108" s="479">
        <f t="shared" si="21"/>
        <v>0</v>
      </c>
    </row>
    <row r="109" spans="1:16" ht="12.5">
      <c r="B109" s="160" t="str">
        <f t="shared" si="18"/>
        <v/>
      </c>
      <c r="C109" s="473">
        <f>IF(D93="","-",+C108+1)</f>
        <v>2024</v>
      </c>
      <c r="D109" s="347">
        <f>IF(F108+SUM(E$99:E108)=D$92,F108,D$92-SUM(E$99:E108))</f>
        <v>1375115</v>
      </c>
      <c r="E109" s="485">
        <f t="shared" si="22"/>
        <v>40131</v>
      </c>
      <c r="F109" s="486">
        <f t="shared" si="23"/>
        <v>1334984</v>
      </c>
      <c r="G109" s="486">
        <f t="shared" si="24"/>
        <v>1355049.5</v>
      </c>
      <c r="H109" s="487">
        <f t="shared" si="27"/>
        <v>196364.48194857777</v>
      </c>
      <c r="I109" s="543">
        <f t="shared" si="28"/>
        <v>196364.48194857777</v>
      </c>
      <c r="J109" s="479">
        <f t="shared" si="19"/>
        <v>0</v>
      </c>
      <c r="K109" s="479"/>
      <c r="L109" s="488"/>
      <c r="M109" s="479">
        <f t="shared" si="26"/>
        <v>0</v>
      </c>
      <c r="N109" s="488"/>
      <c r="O109" s="479">
        <f t="shared" si="20"/>
        <v>0</v>
      </c>
      <c r="P109" s="479">
        <f t="shared" si="21"/>
        <v>0</v>
      </c>
    </row>
    <row r="110" spans="1:16" ht="12.5">
      <c r="B110" s="160" t="str">
        <f t="shared" si="18"/>
        <v/>
      </c>
      <c r="C110" s="473">
        <f>IF(D93="","-",+C109+1)</f>
        <v>2025</v>
      </c>
      <c r="D110" s="347">
        <f>IF(F109+SUM(E$99:E109)=D$92,F109,D$92-SUM(E$99:E109))</f>
        <v>1334984</v>
      </c>
      <c r="E110" s="485">
        <f t="shared" si="22"/>
        <v>40131</v>
      </c>
      <c r="F110" s="486">
        <f t="shared" si="23"/>
        <v>1294853</v>
      </c>
      <c r="G110" s="486">
        <f t="shared" si="24"/>
        <v>1314918.5</v>
      </c>
      <c r="H110" s="487">
        <f t="shared" si="27"/>
        <v>191737.4879796649</v>
      </c>
      <c r="I110" s="543">
        <f t="shared" si="28"/>
        <v>191737.4879796649</v>
      </c>
      <c r="J110" s="479">
        <f t="shared" si="19"/>
        <v>0</v>
      </c>
      <c r="K110" s="479"/>
      <c r="L110" s="488"/>
      <c r="M110" s="479">
        <f t="shared" si="26"/>
        <v>0</v>
      </c>
      <c r="N110" s="488"/>
      <c r="O110" s="479">
        <f t="shared" si="20"/>
        <v>0</v>
      </c>
      <c r="P110" s="479">
        <f t="shared" si="21"/>
        <v>0</v>
      </c>
    </row>
    <row r="111" spans="1:16" ht="12.5">
      <c r="B111" s="160" t="str">
        <f t="shared" si="18"/>
        <v/>
      </c>
      <c r="C111" s="473">
        <f>IF(D93="","-",+C110+1)</f>
        <v>2026</v>
      </c>
      <c r="D111" s="347">
        <f>IF(F110+SUM(E$99:E110)=D$92,F110,D$92-SUM(E$99:E110))</f>
        <v>1294853</v>
      </c>
      <c r="E111" s="485">
        <f t="shared" si="22"/>
        <v>40131</v>
      </c>
      <c r="F111" s="486">
        <f t="shared" si="23"/>
        <v>1254722</v>
      </c>
      <c r="G111" s="486">
        <f t="shared" si="24"/>
        <v>1274787.5</v>
      </c>
      <c r="H111" s="487">
        <f t="shared" si="27"/>
        <v>187110.49401075207</v>
      </c>
      <c r="I111" s="543">
        <f t="shared" si="28"/>
        <v>187110.49401075207</v>
      </c>
      <c r="J111" s="479">
        <f t="shared" si="19"/>
        <v>0</v>
      </c>
      <c r="K111" s="479"/>
      <c r="L111" s="488"/>
      <c r="M111" s="479">
        <f t="shared" si="26"/>
        <v>0</v>
      </c>
      <c r="N111" s="488"/>
      <c r="O111" s="479">
        <f t="shared" si="20"/>
        <v>0</v>
      </c>
      <c r="P111" s="479">
        <f t="shared" si="21"/>
        <v>0</v>
      </c>
    </row>
    <row r="112" spans="1:16" ht="12.5">
      <c r="B112" s="160" t="str">
        <f t="shared" si="18"/>
        <v/>
      </c>
      <c r="C112" s="473">
        <f>IF(D93="","-",+C111+1)</f>
        <v>2027</v>
      </c>
      <c r="D112" s="347">
        <f>IF(F111+SUM(E$99:E111)=D$92,F111,D$92-SUM(E$99:E111))</f>
        <v>1254722</v>
      </c>
      <c r="E112" s="485">
        <f t="shared" si="22"/>
        <v>40131</v>
      </c>
      <c r="F112" s="486">
        <f t="shared" si="23"/>
        <v>1214591</v>
      </c>
      <c r="G112" s="486">
        <f t="shared" si="24"/>
        <v>1234656.5</v>
      </c>
      <c r="H112" s="487">
        <f t="shared" si="27"/>
        <v>182483.50004183923</v>
      </c>
      <c r="I112" s="543">
        <f t="shared" si="28"/>
        <v>182483.50004183923</v>
      </c>
      <c r="J112" s="479">
        <f t="shared" si="19"/>
        <v>0</v>
      </c>
      <c r="K112" s="479"/>
      <c r="L112" s="488"/>
      <c r="M112" s="479">
        <f t="shared" si="26"/>
        <v>0</v>
      </c>
      <c r="N112" s="488"/>
      <c r="O112" s="479">
        <f t="shared" si="20"/>
        <v>0</v>
      </c>
      <c r="P112" s="479">
        <f t="shared" si="21"/>
        <v>0</v>
      </c>
    </row>
    <row r="113" spans="2:16" ht="12.5">
      <c r="B113" s="160" t="str">
        <f t="shared" si="18"/>
        <v/>
      </c>
      <c r="C113" s="473">
        <f>IF(D93="","-",+C112+1)</f>
        <v>2028</v>
      </c>
      <c r="D113" s="347">
        <f>IF(F112+SUM(E$99:E112)=D$92,F112,D$92-SUM(E$99:E112))</f>
        <v>1214591</v>
      </c>
      <c r="E113" s="485">
        <f t="shared" si="22"/>
        <v>40131</v>
      </c>
      <c r="F113" s="486">
        <f t="shared" si="23"/>
        <v>1174460</v>
      </c>
      <c r="G113" s="486">
        <f t="shared" si="24"/>
        <v>1194525.5</v>
      </c>
      <c r="H113" s="487">
        <f t="shared" si="27"/>
        <v>177856.50607292636</v>
      </c>
      <c r="I113" s="543">
        <f t="shared" si="28"/>
        <v>177856.50607292636</v>
      </c>
      <c r="J113" s="479">
        <f t="shared" si="19"/>
        <v>0</v>
      </c>
      <c r="K113" s="479"/>
      <c r="L113" s="488"/>
      <c r="M113" s="479">
        <f t="shared" si="26"/>
        <v>0</v>
      </c>
      <c r="N113" s="488"/>
      <c r="O113" s="479">
        <f t="shared" si="20"/>
        <v>0</v>
      </c>
      <c r="P113" s="479">
        <f t="shared" si="21"/>
        <v>0</v>
      </c>
    </row>
    <row r="114" spans="2:16" ht="12.5">
      <c r="B114" s="160" t="str">
        <f t="shared" si="18"/>
        <v/>
      </c>
      <c r="C114" s="473">
        <f>IF(D93="","-",+C113+1)</f>
        <v>2029</v>
      </c>
      <c r="D114" s="347">
        <f>IF(F113+SUM(E$99:E113)=D$92,F113,D$92-SUM(E$99:E113))</f>
        <v>1174460</v>
      </c>
      <c r="E114" s="485">
        <f t="shared" si="22"/>
        <v>40131</v>
      </c>
      <c r="F114" s="486">
        <f t="shared" si="23"/>
        <v>1134329</v>
      </c>
      <c r="G114" s="486">
        <f t="shared" si="24"/>
        <v>1154394.5</v>
      </c>
      <c r="H114" s="487">
        <f t="shared" si="27"/>
        <v>173229.51210401353</v>
      </c>
      <c r="I114" s="543">
        <f t="shared" si="28"/>
        <v>173229.51210401353</v>
      </c>
      <c r="J114" s="479">
        <f t="shared" si="19"/>
        <v>0</v>
      </c>
      <c r="K114" s="479"/>
      <c r="L114" s="488"/>
      <c r="M114" s="479">
        <f t="shared" si="26"/>
        <v>0</v>
      </c>
      <c r="N114" s="488"/>
      <c r="O114" s="479">
        <f t="shared" si="20"/>
        <v>0</v>
      </c>
      <c r="P114" s="479">
        <f t="shared" si="21"/>
        <v>0</v>
      </c>
    </row>
    <row r="115" spans="2:16" ht="12.5">
      <c r="B115" s="160" t="str">
        <f t="shared" si="18"/>
        <v/>
      </c>
      <c r="C115" s="473">
        <f>IF(D93="","-",+C114+1)</f>
        <v>2030</v>
      </c>
      <c r="D115" s="347">
        <f>IF(F114+SUM(E$99:E114)=D$92,F114,D$92-SUM(E$99:E114))</f>
        <v>1134329</v>
      </c>
      <c r="E115" s="485">
        <f t="shared" si="22"/>
        <v>40131</v>
      </c>
      <c r="F115" s="486">
        <f t="shared" si="23"/>
        <v>1094198</v>
      </c>
      <c r="G115" s="486">
        <f t="shared" si="24"/>
        <v>1114263.5</v>
      </c>
      <c r="H115" s="487">
        <f t="shared" si="27"/>
        <v>168602.51813510066</v>
      </c>
      <c r="I115" s="543">
        <f t="shared" si="28"/>
        <v>168602.51813510066</v>
      </c>
      <c r="J115" s="479">
        <f t="shared" si="19"/>
        <v>0</v>
      </c>
      <c r="K115" s="479"/>
      <c r="L115" s="488"/>
      <c r="M115" s="479">
        <f t="shared" si="26"/>
        <v>0</v>
      </c>
      <c r="N115" s="488"/>
      <c r="O115" s="479">
        <f t="shared" si="20"/>
        <v>0</v>
      </c>
      <c r="P115" s="479">
        <f t="shared" si="21"/>
        <v>0</v>
      </c>
    </row>
    <row r="116" spans="2:16" ht="12.5">
      <c r="B116" s="160" t="str">
        <f t="shared" si="18"/>
        <v/>
      </c>
      <c r="C116" s="473">
        <f>IF(D93="","-",+C115+1)</f>
        <v>2031</v>
      </c>
      <c r="D116" s="347">
        <f>IF(F115+SUM(E$99:E115)=D$92,F115,D$92-SUM(E$99:E115))</f>
        <v>1094198</v>
      </c>
      <c r="E116" s="485">
        <f t="shared" si="22"/>
        <v>40131</v>
      </c>
      <c r="F116" s="486">
        <f t="shared" si="23"/>
        <v>1054067</v>
      </c>
      <c r="G116" s="486">
        <f t="shared" si="24"/>
        <v>1074132.5</v>
      </c>
      <c r="H116" s="487">
        <f t="shared" si="27"/>
        <v>163975.5241661878</v>
      </c>
      <c r="I116" s="543">
        <f t="shared" si="28"/>
        <v>163975.5241661878</v>
      </c>
      <c r="J116" s="479">
        <f t="shared" si="19"/>
        <v>0</v>
      </c>
      <c r="K116" s="479"/>
      <c r="L116" s="488"/>
      <c r="M116" s="479">
        <f t="shared" si="26"/>
        <v>0</v>
      </c>
      <c r="N116" s="488"/>
      <c r="O116" s="479">
        <f t="shared" si="20"/>
        <v>0</v>
      </c>
      <c r="P116" s="479">
        <f t="shared" si="21"/>
        <v>0</v>
      </c>
    </row>
    <row r="117" spans="2:16" ht="12.5">
      <c r="B117" s="160" t="str">
        <f t="shared" si="18"/>
        <v/>
      </c>
      <c r="C117" s="473">
        <f>IF(D93="","-",+C116+1)</f>
        <v>2032</v>
      </c>
      <c r="D117" s="347">
        <f>IF(F116+SUM(E$99:E116)=D$92,F116,D$92-SUM(E$99:E116))</f>
        <v>1054067</v>
      </c>
      <c r="E117" s="485">
        <f t="shared" si="22"/>
        <v>40131</v>
      </c>
      <c r="F117" s="486">
        <f t="shared" si="23"/>
        <v>1013936</v>
      </c>
      <c r="G117" s="486">
        <f t="shared" si="24"/>
        <v>1034001.5</v>
      </c>
      <c r="H117" s="487">
        <f t="shared" si="27"/>
        <v>159348.53019727496</v>
      </c>
      <c r="I117" s="543">
        <f t="shared" si="28"/>
        <v>159348.53019727496</v>
      </c>
      <c r="J117" s="479">
        <f t="shared" si="19"/>
        <v>0</v>
      </c>
      <c r="K117" s="479"/>
      <c r="L117" s="488"/>
      <c r="M117" s="479">
        <f t="shared" si="26"/>
        <v>0</v>
      </c>
      <c r="N117" s="488"/>
      <c r="O117" s="479">
        <f t="shared" si="20"/>
        <v>0</v>
      </c>
      <c r="P117" s="479">
        <f t="shared" si="21"/>
        <v>0</v>
      </c>
    </row>
    <row r="118" spans="2:16" ht="12.5">
      <c r="B118" s="160" t="str">
        <f t="shared" si="18"/>
        <v/>
      </c>
      <c r="C118" s="473">
        <f>IF(D93="","-",+C117+1)</f>
        <v>2033</v>
      </c>
      <c r="D118" s="347">
        <f>IF(F117+SUM(E$99:E117)=D$92,F117,D$92-SUM(E$99:E117))</f>
        <v>1013936</v>
      </c>
      <c r="E118" s="485">
        <f t="shared" si="22"/>
        <v>40131</v>
      </c>
      <c r="F118" s="486">
        <f t="shared" si="23"/>
        <v>973805</v>
      </c>
      <c r="G118" s="486">
        <f t="shared" si="24"/>
        <v>993870.5</v>
      </c>
      <c r="H118" s="487">
        <f t="shared" si="27"/>
        <v>154721.53622836212</v>
      </c>
      <c r="I118" s="543">
        <f t="shared" si="28"/>
        <v>154721.53622836212</v>
      </c>
      <c r="J118" s="479">
        <f t="shared" si="19"/>
        <v>0</v>
      </c>
      <c r="K118" s="479"/>
      <c r="L118" s="488"/>
      <c r="M118" s="479">
        <f t="shared" si="26"/>
        <v>0</v>
      </c>
      <c r="N118" s="488"/>
      <c r="O118" s="479">
        <f t="shared" si="20"/>
        <v>0</v>
      </c>
      <c r="P118" s="479">
        <f t="shared" si="21"/>
        <v>0</v>
      </c>
    </row>
    <row r="119" spans="2:16" ht="12.5">
      <c r="B119" s="160" t="str">
        <f t="shared" si="18"/>
        <v/>
      </c>
      <c r="C119" s="473">
        <f>IF(D93="","-",+C118+1)</f>
        <v>2034</v>
      </c>
      <c r="D119" s="347">
        <f>IF(F118+SUM(E$99:E118)=D$92,F118,D$92-SUM(E$99:E118))</f>
        <v>973805</v>
      </c>
      <c r="E119" s="485">
        <f t="shared" si="22"/>
        <v>40131</v>
      </c>
      <c r="F119" s="486">
        <f t="shared" si="23"/>
        <v>933674</v>
      </c>
      <c r="G119" s="486">
        <f t="shared" si="24"/>
        <v>953739.5</v>
      </c>
      <c r="H119" s="487">
        <f t="shared" si="27"/>
        <v>150094.54225944926</v>
      </c>
      <c r="I119" s="543">
        <f t="shared" si="28"/>
        <v>150094.54225944926</v>
      </c>
      <c r="J119" s="479">
        <f t="shared" si="19"/>
        <v>0</v>
      </c>
      <c r="K119" s="479"/>
      <c r="L119" s="488"/>
      <c r="M119" s="479">
        <f t="shared" si="26"/>
        <v>0</v>
      </c>
      <c r="N119" s="488"/>
      <c r="O119" s="479">
        <f t="shared" si="20"/>
        <v>0</v>
      </c>
      <c r="P119" s="479">
        <f t="shared" si="21"/>
        <v>0</v>
      </c>
    </row>
    <row r="120" spans="2:16" ht="12.5">
      <c r="B120" s="160" t="str">
        <f t="shared" si="18"/>
        <v/>
      </c>
      <c r="C120" s="473">
        <f>IF(D93="","-",+C119+1)</f>
        <v>2035</v>
      </c>
      <c r="D120" s="347">
        <f>IF(F119+SUM(E$99:E119)=D$92,F119,D$92-SUM(E$99:E119))</f>
        <v>933674</v>
      </c>
      <c r="E120" s="485">
        <f t="shared" si="22"/>
        <v>40131</v>
      </c>
      <c r="F120" s="486">
        <f t="shared" si="23"/>
        <v>893543</v>
      </c>
      <c r="G120" s="486">
        <f t="shared" si="24"/>
        <v>913608.5</v>
      </c>
      <c r="H120" s="487">
        <f t="shared" si="27"/>
        <v>145467.54829053639</v>
      </c>
      <c r="I120" s="543">
        <f t="shared" si="28"/>
        <v>145467.54829053639</v>
      </c>
      <c r="J120" s="479">
        <f t="shared" si="19"/>
        <v>0</v>
      </c>
      <c r="K120" s="479"/>
      <c r="L120" s="488"/>
      <c r="M120" s="479">
        <f t="shared" si="26"/>
        <v>0</v>
      </c>
      <c r="N120" s="488"/>
      <c r="O120" s="479">
        <f t="shared" si="20"/>
        <v>0</v>
      </c>
      <c r="P120" s="479">
        <f t="shared" si="21"/>
        <v>0</v>
      </c>
    </row>
    <row r="121" spans="2:16" ht="12.5">
      <c r="B121" s="160" t="str">
        <f t="shared" si="18"/>
        <v/>
      </c>
      <c r="C121" s="473">
        <f>IF(D93="","-",+C120+1)</f>
        <v>2036</v>
      </c>
      <c r="D121" s="347">
        <f>IF(F120+SUM(E$99:E120)=D$92,F120,D$92-SUM(E$99:E120))</f>
        <v>893543</v>
      </c>
      <c r="E121" s="485">
        <f t="shared" si="22"/>
        <v>40131</v>
      </c>
      <c r="F121" s="486">
        <f t="shared" si="23"/>
        <v>853412</v>
      </c>
      <c r="G121" s="486">
        <f t="shared" si="24"/>
        <v>873477.5</v>
      </c>
      <c r="H121" s="487">
        <f t="shared" si="27"/>
        <v>140840.55432162355</v>
      </c>
      <c r="I121" s="543">
        <f t="shared" si="28"/>
        <v>140840.55432162355</v>
      </c>
      <c r="J121" s="479">
        <f t="shared" si="19"/>
        <v>0</v>
      </c>
      <c r="K121" s="479"/>
      <c r="L121" s="488"/>
      <c r="M121" s="479">
        <f t="shared" si="26"/>
        <v>0</v>
      </c>
      <c r="N121" s="488"/>
      <c r="O121" s="479">
        <f t="shared" si="20"/>
        <v>0</v>
      </c>
      <c r="P121" s="479">
        <f t="shared" si="21"/>
        <v>0</v>
      </c>
    </row>
    <row r="122" spans="2:16" ht="12.5">
      <c r="B122" s="160" t="str">
        <f t="shared" si="18"/>
        <v/>
      </c>
      <c r="C122" s="473">
        <f>IF(D93="","-",+C121+1)</f>
        <v>2037</v>
      </c>
      <c r="D122" s="347">
        <f>IF(F121+SUM(E$99:E121)=D$92,F121,D$92-SUM(E$99:E121))</f>
        <v>853412</v>
      </c>
      <c r="E122" s="485">
        <f t="shared" si="22"/>
        <v>40131</v>
      </c>
      <c r="F122" s="486">
        <f t="shared" si="23"/>
        <v>813281</v>
      </c>
      <c r="G122" s="486">
        <f t="shared" si="24"/>
        <v>833346.5</v>
      </c>
      <c r="H122" s="487">
        <f t="shared" si="27"/>
        <v>136213.56035271072</v>
      </c>
      <c r="I122" s="543">
        <f t="shared" si="28"/>
        <v>136213.56035271072</v>
      </c>
      <c r="J122" s="479">
        <f t="shared" si="19"/>
        <v>0</v>
      </c>
      <c r="K122" s="479"/>
      <c r="L122" s="488"/>
      <c r="M122" s="479">
        <f t="shared" si="26"/>
        <v>0</v>
      </c>
      <c r="N122" s="488"/>
      <c r="O122" s="479">
        <f t="shared" si="20"/>
        <v>0</v>
      </c>
      <c r="P122" s="479">
        <f t="shared" si="21"/>
        <v>0</v>
      </c>
    </row>
    <row r="123" spans="2:16" ht="12.5">
      <c r="B123" s="160" t="str">
        <f t="shared" si="18"/>
        <v/>
      </c>
      <c r="C123" s="473">
        <f>IF(D93="","-",+C122+1)</f>
        <v>2038</v>
      </c>
      <c r="D123" s="347">
        <f>IF(F122+SUM(E$99:E122)=D$92,F122,D$92-SUM(E$99:E122))</f>
        <v>813281</v>
      </c>
      <c r="E123" s="485">
        <f t="shared" si="22"/>
        <v>40131</v>
      </c>
      <c r="F123" s="486">
        <f t="shared" si="23"/>
        <v>773150</v>
      </c>
      <c r="G123" s="486">
        <f t="shared" si="24"/>
        <v>793215.5</v>
      </c>
      <c r="H123" s="487">
        <f t="shared" si="27"/>
        <v>131586.56638379785</v>
      </c>
      <c r="I123" s="543">
        <f t="shared" si="28"/>
        <v>131586.56638379785</v>
      </c>
      <c r="J123" s="479">
        <f t="shared" si="19"/>
        <v>0</v>
      </c>
      <c r="K123" s="479"/>
      <c r="L123" s="488"/>
      <c r="M123" s="479">
        <f t="shared" si="26"/>
        <v>0</v>
      </c>
      <c r="N123" s="488"/>
      <c r="O123" s="479">
        <f t="shared" si="20"/>
        <v>0</v>
      </c>
      <c r="P123" s="479">
        <f t="shared" si="21"/>
        <v>0</v>
      </c>
    </row>
    <row r="124" spans="2:16" ht="12.5">
      <c r="B124" s="160" t="str">
        <f t="shared" si="18"/>
        <v/>
      </c>
      <c r="C124" s="473">
        <f>IF(D93="","-",+C123+1)</f>
        <v>2039</v>
      </c>
      <c r="D124" s="347">
        <f>IF(F123+SUM(E$99:E123)=D$92,F123,D$92-SUM(E$99:E123))</f>
        <v>773150</v>
      </c>
      <c r="E124" s="485">
        <f t="shared" si="22"/>
        <v>40131</v>
      </c>
      <c r="F124" s="486">
        <f t="shared" si="23"/>
        <v>733019</v>
      </c>
      <c r="G124" s="486">
        <f t="shared" si="24"/>
        <v>753084.5</v>
      </c>
      <c r="H124" s="487">
        <f t="shared" si="27"/>
        <v>126959.572414885</v>
      </c>
      <c r="I124" s="543">
        <f t="shared" si="28"/>
        <v>126959.572414885</v>
      </c>
      <c r="J124" s="479">
        <f t="shared" si="19"/>
        <v>0</v>
      </c>
      <c r="K124" s="479"/>
      <c r="L124" s="488"/>
      <c r="M124" s="479">
        <f t="shared" si="26"/>
        <v>0</v>
      </c>
      <c r="N124" s="488"/>
      <c r="O124" s="479">
        <f t="shared" si="20"/>
        <v>0</v>
      </c>
      <c r="P124" s="479">
        <f t="shared" si="21"/>
        <v>0</v>
      </c>
    </row>
    <row r="125" spans="2:16" ht="12.5">
      <c r="B125" s="160" t="str">
        <f t="shared" si="18"/>
        <v/>
      </c>
      <c r="C125" s="473">
        <f>IF(D93="","-",+C124+1)</f>
        <v>2040</v>
      </c>
      <c r="D125" s="347">
        <f>IF(F124+SUM(E$99:E124)=D$92,F124,D$92-SUM(E$99:E124))</f>
        <v>733019</v>
      </c>
      <c r="E125" s="485">
        <f t="shared" si="22"/>
        <v>40131</v>
      </c>
      <c r="F125" s="486">
        <f t="shared" si="23"/>
        <v>692888</v>
      </c>
      <c r="G125" s="486">
        <f t="shared" si="24"/>
        <v>712953.5</v>
      </c>
      <c r="H125" s="487">
        <f t="shared" si="27"/>
        <v>122332.57844597215</v>
      </c>
      <c r="I125" s="543">
        <f t="shared" si="28"/>
        <v>122332.57844597215</v>
      </c>
      <c r="J125" s="479">
        <f t="shared" si="19"/>
        <v>0</v>
      </c>
      <c r="K125" s="479"/>
      <c r="L125" s="488"/>
      <c r="M125" s="479">
        <f t="shared" si="26"/>
        <v>0</v>
      </c>
      <c r="N125" s="488"/>
      <c r="O125" s="479">
        <f t="shared" si="20"/>
        <v>0</v>
      </c>
      <c r="P125" s="479">
        <f t="shared" si="21"/>
        <v>0</v>
      </c>
    </row>
    <row r="126" spans="2:16" ht="12.5">
      <c r="B126" s="160" t="str">
        <f t="shared" si="18"/>
        <v/>
      </c>
      <c r="C126" s="473">
        <f>IF(D93="","-",+C125+1)</f>
        <v>2041</v>
      </c>
      <c r="D126" s="347">
        <f>IF(F125+SUM(E$99:E125)=D$92,F125,D$92-SUM(E$99:E125))</f>
        <v>692888</v>
      </c>
      <c r="E126" s="485">
        <f t="shared" si="22"/>
        <v>40131</v>
      </c>
      <c r="F126" s="486">
        <f t="shared" si="23"/>
        <v>652757</v>
      </c>
      <c r="G126" s="486">
        <f t="shared" si="24"/>
        <v>672822.5</v>
      </c>
      <c r="H126" s="487">
        <f t="shared" si="27"/>
        <v>117705.5844770593</v>
      </c>
      <c r="I126" s="543">
        <f t="shared" si="28"/>
        <v>117705.5844770593</v>
      </c>
      <c r="J126" s="479">
        <f t="shared" si="19"/>
        <v>0</v>
      </c>
      <c r="K126" s="479"/>
      <c r="L126" s="488"/>
      <c r="M126" s="479">
        <f t="shared" si="26"/>
        <v>0</v>
      </c>
      <c r="N126" s="488"/>
      <c r="O126" s="479">
        <f t="shared" si="20"/>
        <v>0</v>
      </c>
      <c r="P126" s="479">
        <f t="shared" si="21"/>
        <v>0</v>
      </c>
    </row>
    <row r="127" spans="2:16" ht="12.5">
      <c r="B127" s="160" t="str">
        <f t="shared" si="18"/>
        <v/>
      </c>
      <c r="C127" s="473">
        <f>IF(D93="","-",+C126+1)</f>
        <v>2042</v>
      </c>
      <c r="D127" s="347">
        <f>IF(F126+SUM(E$99:E126)=D$92,F126,D$92-SUM(E$99:E126))</f>
        <v>652757</v>
      </c>
      <c r="E127" s="485">
        <f t="shared" si="22"/>
        <v>40131</v>
      </c>
      <c r="F127" s="486">
        <f t="shared" si="23"/>
        <v>612626</v>
      </c>
      <c r="G127" s="486">
        <f t="shared" si="24"/>
        <v>632691.5</v>
      </c>
      <c r="H127" s="487">
        <f t="shared" si="27"/>
        <v>113078.59050814644</v>
      </c>
      <c r="I127" s="543">
        <f t="shared" si="28"/>
        <v>113078.59050814644</v>
      </c>
      <c r="J127" s="479">
        <f t="shared" si="19"/>
        <v>0</v>
      </c>
      <c r="K127" s="479"/>
      <c r="L127" s="488"/>
      <c r="M127" s="479">
        <f t="shared" si="26"/>
        <v>0</v>
      </c>
      <c r="N127" s="488"/>
      <c r="O127" s="479">
        <f t="shared" si="20"/>
        <v>0</v>
      </c>
      <c r="P127" s="479">
        <f t="shared" si="21"/>
        <v>0</v>
      </c>
    </row>
    <row r="128" spans="2:16" ht="12.5">
      <c r="B128" s="160" t="str">
        <f t="shared" si="18"/>
        <v/>
      </c>
      <c r="C128" s="473">
        <f>IF(D93="","-",+C127+1)</f>
        <v>2043</v>
      </c>
      <c r="D128" s="347">
        <f>IF(F127+SUM(E$99:E127)=D$92,F127,D$92-SUM(E$99:E127))</f>
        <v>612626</v>
      </c>
      <c r="E128" s="485">
        <f t="shared" si="22"/>
        <v>40131</v>
      </c>
      <c r="F128" s="486">
        <f t="shared" si="23"/>
        <v>572495</v>
      </c>
      <c r="G128" s="486">
        <f t="shared" si="24"/>
        <v>592560.5</v>
      </c>
      <c r="H128" s="487">
        <f t="shared" si="27"/>
        <v>108451.59653923359</v>
      </c>
      <c r="I128" s="543">
        <f t="shared" si="28"/>
        <v>108451.59653923359</v>
      </c>
      <c r="J128" s="479">
        <f t="shared" si="19"/>
        <v>0</v>
      </c>
      <c r="K128" s="479"/>
      <c r="L128" s="488"/>
      <c r="M128" s="479">
        <f t="shared" si="26"/>
        <v>0</v>
      </c>
      <c r="N128" s="488"/>
      <c r="O128" s="479">
        <f t="shared" si="20"/>
        <v>0</v>
      </c>
      <c r="P128" s="479">
        <f t="shared" si="21"/>
        <v>0</v>
      </c>
    </row>
    <row r="129" spans="2:16" ht="12.5">
      <c r="B129" s="160" t="str">
        <f t="shared" si="18"/>
        <v/>
      </c>
      <c r="C129" s="473">
        <f>IF(D93="","-",+C128+1)</f>
        <v>2044</v>
      </c>
      <c r="D129" s="347">
        <f>IF(F128+SUM(E$99:E128)=D$92,F128,D$92-SUM(E$99:E128))</f>
        <v>572495</v>
      </c>
      <c r="E129" s="485">
        <f t="shared" si="22"/>
        <v>40131</v>
      </c>
      <c r="F129" s="486">
        <f t="shared" si="23"/>
        <v>532364</v>
      </c>
      <c r="G129" s="486">
        <f t="shared" si="24"/>
        <v>552429.5</v>
      </c>
      <c r="H129" s="487">
        <f t="shared" si="27"/>
        <v>103824.60257032074</v>
      </c>
      <c r="I129" s="543">
        <f t="shared" si="28"/>
        <v>103824.60257032074</v>
      </c>
      <c r="J129" s="479">
        <f t="shared" si="19"/>
        <v>0</v>
      </c>
      <c r="K129" s="479"/>
      <c r="L129" s="488"/>
      <c r="M129" s="479">
        <f t="shared" si="26"/>
        <v>0</v>
      </c>
      <c r="N129" s="488"/>
      <c r="O129" s="479">
        <f t="shared" si="20"/>
        <v>0</v>
      </c>
      <c r="P129" s="479">
        <f t="shared" si="21"/>
        <v>0</v>
      </c>
    </row>
    <row r="130" spans="2:16" ht="12.5">
      <c r="B130" s="160" t="str">
        <f t="shared" si="18"/>
        <v/>
      </c>
      <c r="C130" s="473">
        <f>IF(D93="","-",+C129+1)</f>
        <v>2045</v>
      </c>
      <c r="D130" s="347">
        <f>IF(F129+SUM(E$99:E129)=D$92,F129,D$92-SUM(E$99:E129))</f>
        <v>532364</v>
      </c>
      <c r="E130" s="485">
        <f t="shared" si="22"/>
        <v>40131</v>
      </c>
      <c r="F130" s="486">
        <f t="shared" si="23"/>
        <v>492233</v>
      </c>
      <c r="G130" s="486">
        <f t="shared" si="24"/>
        <v>512298.5</v>
      </c>
      <c r="H130" s="487">
        <f t="shared" si="27"/>
        <v>99197.608601407905</v>
      </c>
      <c r="I130" s="543">
        <f t="shared" si="28"/>
        <v>99197.608601407905</v>
      </c>
      <c r="J130" s="479">
        <f t="shared" si="19"/>
        <v>0</v>
      </c>
      <c r="K130" s="479"/>
      <c r="L130" s="488"/>
      <c r="M130" s="479">
        <f t="shared" si="26"/>
        <v>0</v>
      </c>
      <c r="N130" s="488"/>
      <c r="O130" s="479">
        <f t="shared" si="20"/>
        <v>0</v>
      </c>
      <c r="P130" s="479">
        <f t="shared" si="21"/>
        <v>0</v>
      </c>
    </row>
    <row r="131" spans="2:16" ht="12.5">
      <c r="B131" s="160" t="str">
        <f t="shared" si="18"/>
        <v/>
      </c>
      <c r="C131" s="473">
        <f>IF(D93="","-",+C130+1)</f>
        <v>2046</v>
      </c>
      <c r="D131" s="347">
        <f>IF(F130+SUM(E$99:E130)=D$92,F130,D$92-SUM(E$99:E130))</f>
        <v>492233</v>
      </c>
      <c r="E131" s="485">
        <f t="shared" si="22"/>
        <v>40131</v>
      </c>
      <c r="F131" s="486">
        <f t="shared" si="23"/>
        <v>452102</v>
      </c>
      <c r="G131" s="486">
        <f t="shared" si="24"/>
        <v>472167.5</v>
      </c>
      <c r="H131" s="487">
        <f t="shared" si="27"/>
        <v>94570.614632495039</v>
      </c>
      <c r="I131" s="543">
        <f t="shared" si="28"/>
        <v>94570.614632495039</v>
      </c>
      <c r="J131" s="479">
        <f t="shared" si="19"/>
        <v>0</v>
      </c>
      <c r="K131" s="479"/>
      <c r="L131" s="488"/>
      <c r="M131" s="479">
        <f t="shared" ref="M131:M154" si="29">IF(L541&lt;&gt;0,+H541-L541,0)</f>
        <v>0</v>
      </c>
      <c r="N131" s="488"/>
      <c r="O131" s="479">
        <f t="shared" ref="O131:O154" si="30">IF(N541&lt;&gt;0,+I541-N541,0)</f>
        <v>0</v>
      </c>
      <c r="P131" s="479">
        <f t="shared" ref="P131:P154" si="31">+O541-M541</f>
        <v>0</v>
      </c>
    </row>
    <row r="132" spans="2:16" ht="12.5">
      <c r="B132" s="160" t="str">
        <f t="shared" si="18"/>
        <v/>
      </c>
      <c r="C132" s="473">
        <f>IF(D93="","-",+C131+1)</f>
        <v>2047</v>
      </c>
      <c r="D132" s="347">
        <f>IF(F131+SUM(E$99:E131)=D$92,F131,D$92-SUM(E$99:E131))</f>
        <v>452102</v>
      </c>
      <c r="E132" s="485">
        <f t="shared" si="22"/>
        <v>40131</v>
      </c>
      <c r="F132" s="486">
        <f t="shared" si="23"/>
        <v>411971</v>
      </c>
      <c r="G132" s="486">
        <f t="shared" si="24"/>
        <v>432036.5</v>
      </c>
      <c r="H132" s="487">
        <f t="shared" si="27"/>
        <v>89943.620663582202</v>
      </c>
      <c r="I132" s="543">
        <f t="shared" si="28"/>
        <v>89943.620663582202</v>
      </c>
      <c r="J132" s="479">
        <f t="shared" si="19"/>
        <v>0</v>
      </c>
      <c r="K132" s="479"/>
      <c r="L132" s="488"/>
      <c r="M132" s="479">
        <f t="shared" si="29"/>
        <v>0</v>
      </c>
      <c r="N132" s="488"/>
      <c r="O132" s="479">
        <f t="shared" si="30"/>
        <v>0</v>
      </c>
      <c r="P132" s="479">
        <f t="shared" si="31"/>
        <v>0</v>
      </c>
    </row>
    <row r="133" spans="2:16" ht="12.5">
      <c r="B133" s="160" t="str">
        <f t="shared" si="18"/>
        <v/>
      </c>
      <c r="C133" s="473">
        <f>IF(D93="","-",+C132+1)</f>
        <v>2048</v>
      </c>
      <c r="D133" s="347">
        <f>IF(F132+SUM(E$99:E132)=D$92,F132,D$92-SUM(E$99:E132))</f>
        <v>411971</v>
      </c>
      <c r="E133" s="485">
        <f t="shared" si="22"/>
        <v>40131</v>
      </c>
      <c r="F133" s="486">
        <f t="shared" si="23"/>
        <v>371840</v>
      </c>
      <c r="G133" s="486">
        <f t="shared" si="24"/>
        <v>391905.5</v>
      </c>
      <c r="H133" s="487">
        <f t="shared" si="27"/>
        <v>85316.626694669336</v>
      </c>
      <c r="I133" s="543">
        <f t="shared" si="28"/>
        <v>85316.626694669336</v>
      </c>
      <c r="J133" s="479">
        <f t="shared" si="19"/>
        <v>0</v>
      </c>
      <c r="K133" s="479"/>
      <c r="L133" s="488"/>
      <c r="M133" s="479">
        <f t="shared" si="29"/>
        <v>0</v>
      </c>
      <c r="N133" s="488"/>
      <c r="O133" s="479">
        <f t="shared" si="30"/>
        <v>0</v>
      </c>
      <c r="P133" s="479">
        <f t="shared" si="31"/>
        <v>0</v>
      </c>
    </row>
    <row r="134" spans="2:16" ht="12.5">
      <c r="B134" s="160" t="str">
        <f t="shared" si="18"/>
        <v/>
      </c>
      <c r="C134" s="473">
        <f>IF(D93="","-",+C133+1)</f>
        <v>2049</v>
      </c>
      <c r="D134" s="347">
        <f>IF(F133+SUM(E$99:E133)=D$92,F133,D$92-SUM(E$99:E133))</f>
        <v>371840</v>
      </c>
      <c r="E134" s="485">
        <f t="shared" si="22"/>
        <v>40131</v>
      </c>
      <c r="F134" s="486">
        <f t="shared" si="23"/>
        <v>331709</v>
      </c>
      <c r="G134" s="486">
        <f t="shared" si="24"/>
        <v>351774.5</v>
      </c>
      <c r="H134" s="487">
        <f t="shared" si="27"/>
        <v>80689.632725756499</v>
      </c>
      <c r="I134" s="543">
        <f t="shared" si="28"/>
        <v>80689.632725756499</v>
      </c>
      <c r="J134" s="479">
        <f t="shared" si="19"/>
        <v>0</v>
      </c>
      <c r="K134" s="479"/>
      <c r="L134" s="488"/>
      <c r="M134" s="479">
        <f t="shared" si="29"/>
        <v>0</v>
      </c>
      <c r="N134" s="488"/>
      <c r="O134" s="479">
        <f t="shared" si="30"/>
        <v>0</v>
      </c>
      <c r="P134" s="479">
        <f t="shared" si="31"/>
        <v>0</v>
      </c>
    </row>
    <row r="135" spans="2:16" ht="12.5">
      <c r="B135" s="160" t="str">
        <f t="shared" si="18"/>
        <v/>
      </c>
      <c r="C135" s="473">
        <f>IF(D93="","-",+C134+1)</f>
        <v>2050</v>
      </c>
      <c r="D135" s="347">
        <f>IF(F134+SUM(E$99:E134)=D$92,F134,D$92-SUM(E$99:E134))</f>
        <v>331709</v>
      </c>
      <c r="E135" s="485">
        <f t="shared" si="22"/>
        <v>40131</v>
      </c>
      <c r="F135" s="486">
        <f t="shared" si="23"/>
        <v>291578</v>
      </c>
      <c r="G135" s="486">
        <f t="shared" si="24"/>
        <v>311643.5</v>
      </c>
      <c r="H135" s="487">
        <f t="shared" si="27"/>
        <v>76062.638756843633</v>
      </c>
      <c r="I135" s="543">
        <f t="shared" si="28"/>
        <v>76062.638756843633</v>
      </c>
      <c r="J135" s="479">
        <f t="shared" si="19"/>
        <v>0</v>
      </c>
      <c r="K135" s="479"/>
      <c r="L135" s="488"/>
      <c r="M135" s="479">
        <f t="shared" si="29"/>
        <v>0</v>
      </c>
      <c r="N135" s="488"/>
      <c r="O135" s="479">
        <f t="shared" si="30"/>
        <v>0</v>
      </c>
      <c r="P135" s="479">
        <f t="shared" si="31"/>
        <v>0</v>
      </c>
    </row>
    <row r="136" spans="2:16" ht="12.5">
      <c r="B136" s="160" t="str">
        <f t="shared" si="18"/>
        <v/>
      </c>
      <c r="C136" s="473">
        <f>IF(D93="","-",+C135+1)</f>
        <v>2051</v>
      </c>
      <c r="D136" s="347">
        <f>IF(F135+SUM(E$99:E135)=D$92,F135,D$92-SUM(E$99:E135))</f>
        <v>291578</v>
      </c>
      <c r="E136" s="485">
        <f t="shared" si="22"/>
        <v>40131</v>
      </c>
      <c r="F136" s="486">
        <f t="shared" si="23"/>
        <v>251447</v>
      </c>
      <c r="G136" s="486">
        <f t="shared" si="24"/>
        <v>271512.5</v>
      </c>
      <c r="H136" s="487">
        <f t="shared" si="27"/>
        <v>71435.644787930796</v>
      </c>
      <c r="I136" s="543">
        <f t="shared" si="28"/>
        <v>71435.644787930796</v>
      </c>
      <c r="J136" s="479">
        <f t="shared" si="19"/>
        <v>0</v>
      </c>
      <c r="K136" s="479"/>
      <c r="L136" s="488"/>
      <c r="M136" s="479">
        <f t="shared" si="29"/>
        <v>0</v>
      </c>
      <c r="N136" s="488"/>
      <c r="O136" s="479">
        <f t="shared" si="30"/>
        <v>0</v>
      </c>
      <c r="P136" s="479">
        <f t="shared" si="31"/>
        <v>0</v>
      </c>
    </row>
    <row r="137" spans="2:16" ht="12.5">
      <c r="B137" s="160" t="str">
        <f t="shared" si="18"/>
        <v/>
      </c>
      <c r="C137" s="473">
        <f>IF(D93="","-",+C136+1)</f>
        <v>2052</v>
      </c>
      <c r="D137" s="347">
        <f>IF(F136+SUM(E$99:E136)=D$92,F136,D$92-SUM(E$99:E136))</f>
        <v>251447</v>
      </c>
      <c r="E137" s="485">
        <f t="shared" si="22"/>
        <v>40131</v>
      </c>
      <c r="F137" s="486">
        <f t="shared" si="23"/>
        <v>211316</v>
      </c>
      <c r="G137" s="486">
        <f t="shared" si="24"/>
        <v>231381.5</v>
      </c>
      <c r="H137" s="487">
        <f t="shared" si="27"/>
        <v>66808.65081901793</v>
      </c>
      <c r="I137" s="543">
        <f t="shared" si="28"/>
        <v>66808.65081901793</v>
      </c>
      <c r="J137" s="479">
        <f t="shared" si="19"/>
        <v>0</v>
      </c>
      <c r="K137" s="479"/>
      <c r="L137" s="488"/>
      <c r="M137" s="479">
        <f t="shared" si="29"/>
        <v>0</v>
      </c>
      <c r="N137" s="488"/>
      <c r="O137" s="479">
        <f t="shared" si="30"/>
        <v>0</v>
      </c>
      <c r="P137" s="479">
        <f t="shared" si="31"/>
        <v>0</v>
      </c>
    </row>
    <row r="138" spans="2:16" ht="12.5">
      <c r="B138" s="160" t="str">
        <f t="shared" si="18"/>
        <v/>
      </c>
      <c r="C138" s="473">
        <f>IF(D93="","-",+C137+1)</f>
        <v>2053</v>
      </c>
      <c r="D138" s="347">
        <f>IF(F137+SUM(E$99:E137)=D$92,F137,D$92-SUM(E$99:E137))</f>
        <v>211316</v>
      </c>
      <c r="E138" s="485">
        <f t="shared" si="22"/>
        <v>40131</v>
      </c>
      <c r="F138" s="486">
        <f t="shared" si="23"/>
        <v>171185</v>
      </c>
      <c r="G138" s="486">
        <f t="shared" si="24"/>
        <v>191250.5</v>
      </c>
      <c r="H138" s="487">
        <f t="shared" si="27"/>
        <v>62181.656850105086</v>
      </c>
      <c r="I138" s="543">
        <f t="shared" si="28"/>
        <v>62181.656850105086</v>
      </c>
      <c r="J138" s="479">
        <f t="shared" si="19"/>
        <v>0</v>
      </c>
      <c r="K138" s="479"/>
      <c r="L138" s="488"/>
      <c r="M138" s="479">
        <f t="shared" si="29"/>
        <v>0</v>
      </c>
      <c r="N138" s="488"/>
      <c r="O138" s="479">
        <f t="shared" si="30"/>
        <v>0</v>
      </c>
      <c r="P138" s="479">
        <f t="shared" si="31"/>
        <v>0</v>
      </c>
    </row>
    <row r="139" spans="2:16" ht="12.5">
      <c r="B139" s="160" t="str">
        <f t="shared" si="18"/>
        <v/>
      </c>
      <c r="C139" s="473">
        <f>IF(D93="","-",+C138+1)</f>
        <v>2054</v>
      </c>
      <c r="D139" s="347">
        <f>IF(F138+SUM(E$99:E138)=D$92,F138,D$92-SUM(E$99:E138))</f>
        <v>171185</v>
      </c>
      <c r="E139" s="485">
        <f t="shared" si="22"/>
        <v>40131</v>
      </c>
      <c r="F139" s="486">
        <f t="shared" si="23"/>
        <v>131054</v>
      </c>
      <c r="G139" s="486">
        <f t="shared" si="24"/>
        <v>151119.5</v>
      </c>
      <c r="H139" s="487">
        <f t="shared" si="27"/>
        <v>57554.662881192235</v>
      </c>
      <c r="I139" s="543">
        <f t="shared" si="28"/>
        <v>57554.662881192235</v>
      </c>
      <c r="J139" s="479">
        <f t="shared" si="19"/>
        <v>0</v>
      </c>
      <c r="K139" s="479"/>
      <c r="L139" s="488"/>
      <c r="M139" s="479">
        <f t="shared" si="29"/>
        <v>0</v>
      </c>
      <c r="N139" s="488"/>
      <c r="O139" s="479">
        <f t="shared" si="30"/>
        <v>0</v>
      </c>
      <c r="P139" s="479">
        <f t="shared" si="31"/>
        <v>0</v>
      </c>
    </row>
    <row r="140" spans="2:16" ht="12.5">
      <c r="B140" s="160" t="str">
        <f t="shared" si="18"/>
        <v/>
      </c>
      <c r="C140" s="473">
        <f>IF(D93="","-",+C139+1)</f>
        <v>2055</v>
      </c>
      <c r="D140" s="347">
        <f>IF(F139+SUM(E$99:E139)=D$92,F139,D$92-SUM(E$99:E139))</f>
        <v>131054</v>
      </c>
      <c r="E140" s="485">
        <f t="shared" si="22"/>
        <v>40131</v>
      </c>
      <c r="F140" s="486">
        <f t="shared" si="23"/>
        <v>90923</v>
      </c>
      <c r="G140" s="486">
        <f t="shared" si="24"/>
        <v>110988.5</v>
      </c>
      <c r="H140" s="487">
        <f t="shared" si="27"/>
        <v>52927.668912279383</v>
      </c>
      <c r="I140" s="543">
        <f t="shared" si="28"/>
        <v>52927.668912279383</v>
      </c>
      <c r="J140" s="479">
        <f t="shared" si="19"/>
        <v>0</v>
      </c>
      <c r="K140" s="479"/>
      <c r="L140" s="488"/>
      <c r="M140" s="479">
        <f t="shared" si="29"/>
        <v>0</v>
      </c>
      <c r="N140" s="488"/>
      <c r="O140" s="479">
        <f t="shared" si="30"/>
        <v>0</v>
      </c>
      <c r="P140" s="479">
        <f t="shared" si="31"/>
        <v>0</v>
      </c>
    </row>
    <row r="141" spans="2:16" ht="12.5">
      <c r="B141" s="160" t="str">
        <f t="shared" si="18"/>
        <v/>
      </c>
      <c r="C141" s="473">
        <f>IF(D93="","-",+C140+1)</f>
        <v>2056</v>
      </c>
      <c r="D141" s="347">
        <f>IF(F140+SUM(E$99:E140)=D$92,F140,D$92-SUM(E$99:E140))</f>
        <v>90923</v>
      </c>
      <c r="E141" s="485">
        <f t="shared" si="22"/>
        <v>40131</v>
      </c>
      <c r="F141" s="486">
        <f t="shared" si="23"/>
        <v>50792</v>
      </c>
      <c r="G141" s="486">
        <f t="shared" si="24"/>
        <v>70857.5</v>
      </c>
      <c r="H141" s="487">
        <f t="shared" si="27"/>
        <v>48300.674943366532</v>
      </c>
      <c r="I141" s="543">
        <f t="shared" si="28"/>
        <v>48300.674943366532</v>
      </c>
      <c r="J141" s="479">
        <f t="shared" si="19"/>
        <v>0</v>
      </c>
      <c r="K141" s="479"/>
      <c r="L141" s="488"/>
      <c r="M141" s="479">
        <f t="shared" si="29"/>
        <v>0</v>
      </c>
      <c r="N141" s="488"/>
      <c r="O141" s="479">
        <f t="shared" si="30"/>
        <v>0</v>
      </c>
      <c r="P141" s="479">
        <f t="shared" si="31"/>
        <v>0</v>
      </c>
    </row>
    <row r="142" spans="2:16" ht="12.5">
      <c r="B142" s="160" t="str">
        <f t="shared" si="18"/>
        <v/>
      </c>
      <c r="C142" s="473">
        <f>IF(D93="","-",+C141+1)</f>
        <v>2057</v>
      </c>
      <c r="D142" s="347">
        <f>IF(F141+SUM(E$99:E141)=D$92,F141,D$92-SUM(E$99:E141))</f>
        <v>50792</v>
      </c>
      <c r="E142" s="485">
        <f t="shared" si="22"/>
        <v>40131</v>
      </c>
      <c r="F142" s="486">
        <f t="shared" si="23"/>
        <v>10661</v>
      </c>
      <c r="G142" s="486">
        <f t="shared" si="24"/>
        <v>30726.5</v>
      </c>
      <c r="H142" s="487">
        <f t="shared" si="27"/>
        <v>43673.68097445368</v>
      </c>
      <c r="I142" s="543">
        <f t="shared" si="28"/>
        <v>43673.68097445368</v>
      </c>
      <c r="J142" s="479">
        <f t="shared" si="19"/>
        <v>0</v>
      </c>
      <c r="K142" s="479"/>
      <c r="L142" s="488"/>
      <c r="M142" s="479">
        <f t="shared" si="29"/>
        <v>0</v>
      </c>
      <c r="N142" s="488"/>
      <c r="O142" s="479">
        <f t="shared" si="30"/>
        <v>0</v>
      </c>
      <c r="P142" s="479">
        <f t="shared" si="31"/>
        <v>0</v>
      </c>
    </row>
    <row r="143" spans="2:16" ht="12.5">
      <c r="B143" s="160" t="str">
        <f t="shared" si="18"/>
        <v/>
      </c>
      <c r="C143" s="473">
        <f>IF(D93="","-",+C142+1)</f>
        <v>2058</v>
      </c>
      <c r="D143" s="347">
        <f>IF(F142+SUM(E$99:E142)=D$92,F142,D$92-SUM(E$99:E142))</f>
        <v>10661</v>
      </c>
      <c r="E143" s="485">
        <f t="shared" si="22"/>
        <v>10661</v>
      </c>
      <c r="F143" s="486">
        <f t="shared" si="23"/>
        <v>0</v>
      </c>
      <c r="G143" s="486">
        <f t="shared" si="24"/>
        <v>5330.5</v>
      </c>
      <c r="H143" s="487">
        <f t="shared" si="27"/>
        <v>11275.591994998629</v>
      </c>
      <c r="I143" s="543">
        <f t="shared" si="28"/>
        <v>11275.591994998629</v>
      </c>
      <c r="J143" s="479">
        <f t="shared" si="19"/>
        <v>0</v>
      </c>
      <c r="K143" s="479"/>
      <c r="L143" s="488"/>
      <c r="M143" s="479">
        <f t="shared" si="29"/>
        <v>0</v>
      </c>
      <c r="N143" s="488"/>
      <c r="O143" s="479">
        <f t="shared" si="30"/>
        <v>0</v>
      </c>
      <c r="P143" s="479">
        <f t="shared" si="31"/>
        <v>0</v>
      </c>
    </row>
    <row r="144" spans="2:16" ht="12.5">
      <c r="B144" s="160" t="str">
        <f t="shared" si="18"/>
        <v/>
      </c>
      <c r="C144" s="473">
        <f>IF(D93="","-",+C143+1)</f>
        <v>2059</v>
      </c>
      <c r="D144" s="347">
        <f>IF(F143+SUM(E$99:E143)=D$92,F143,D$92-SUM(E$99:E143))</f>
        <v>0</v>
      </c>
      <c r="E144" s="485">
        <f t="shared" si="22"/>
        <v>0</v>
      </c>
      <c r="F144" s="486">
        <f t="shared" si="23"/>
        <v>0</v>
      </c>
      <c r="G144" s="486">
        <f t="shared" si="24"/>
        <v>0</v>
      </c>
      <c r="H144" s="487">
        <f t="shared" si="27"/>
        <v>0</v>
      </c>
      <c r="I144" s="543">
        <f t="shared" si="28"/>
        <v>0</v>
      </c>
      <c r="J144" s="479">
        <f t="shared" si="19"/>
        <v>0</v>
      </c>
      <c r="K144" s="479"/>
      <c r="L144" s="488"/>
      <c r="M144" s="479">
        <f t="shared" si="29"/>
        <v>0</v>
      </c>
      <c r="N144" s="488"/>
      <c r="O144" s="479">
        <f t="shared" si="30"/>
        <v>0</v>
      </c>
      <c r="P144" s="479">
        <f t="shared" si="31"/>
        <v>0</v>
      </c>
    </row>
    <row r="145" spans="2:16" ht="12.5">
      <c r="B145" s="160" t="str">
        <f t="shared" si="18"/>
        <v/>
      </c>
      <c r="C145" s="473">
        <f>IF(D93="","-",+C144+1)</f>
        <v>2060</v>
      </c>
      <c r="D145" s="347">
        <f>IF(F144+SUM(E$99:E144)=D$92,F144,D$92-SUM(E$99:E144))</f>
        <v>0</v>
      </c>
      <c r="E145" s="485">
        <f t="shared" si="22"/>
        <v>0</v>
      </c>
      <c r="F145" s="486">
        <f t="shared" si="23"/>
        <v>0</v>
      </c>
      <c r="G145" s="486">
        <f t="shared" si="24"/>
        <v>0</v>
      </c>
      <c r="H145" s="487">
        <f t="shared" si="27"/>
        <v>0</v>
      </c>
      <c r="I145" s="543">
        <f t="shared" si="28"/>
        <v>0</v>
      </c>
      <c r="J145" s="479">
        <f t="shared" si="19"/>
        <v>0</v>
      </c>
      <c r="K145" s="479"/>
      <c r="L145" s="488"/>
      <c r="M145" s="479">
        <f t="shared" si="29"/>
        <v>0</v>
      </c>
      <c r="N145" s="488"/>
      <c r="O145" s="479">
        <f t="shared" si="30"/>
        <v>0</v>
      </c>
      <c r="P145" s="479">
        <f t="shared" si="31"/>
        <v>0</v>
      </c>
    </row>
    <row r="146" spans="2:16" ht="12.5">
      <c r="B146" s="160" t="str">
        <f t="shared" si="18"/>
        <v/>
      </c>
      <c r="C146" s="473">
        <f>IF(D93="","-",+C145+1)</f>
        <v>2061</v>
      </c>
      <c r="D146" s="347">
        <f>IF(F145+SUM(E$99:E145)=D$92,F145,D$92-SUM(E$99:E145))</f>
        <v>0</v>
      </c>
      <c r="E146" s="485">
        <f t="shared" si="22"/>
        <v>0</v>
      </c>
      <c r="F146" s="486">
        <f t="shared" si="23"/>
        <v>0</v>
      </c>
      <c r="G146" s="486">
        <f t="shared" si="24"/>
        <v>0</v>
      </c>
      <c r="H146" s="487">
        <f t="shared" si="27"/>
        <v>0</v>
      </c>
      <c r="I146" s="543">
        <f t="shared" si="28"/>
        <v>0</v>
      </c>
      <c r="J146" s="479">
        <f t="shared" si="19"/>
        <v>0</v>
      </c>
      <c r="K146" s="479"/>
      <c r="L146" s="488"/>
      <c r="M146" s="479">
        <f t="shared" si="29"/>
        <v>0</v>
      </c>
      <c r="N146" s="488"/>
      <c r="O146" s="479">
        <f t="shared" si="30"/>
        <v>0</v>
      </c>
      <c r="P146" s="479">
        <f t="shared" si="31"/>
        <v>0</v>
      </c>
    </row>
    <row r="147" spans="2:16" ht="12.5">
      <c r="B147" s="160" t="str">
        <f t="shared" si="18"/>
        <v/>
      </c>
      <c r="C147" s="473">
        <f>IF(D93="","-",+C146+1)</f>
        <v>2062</v>
      </c>
      <c r="D147" s="347">
        <f>IF(F146+SUM(E$99:E146)=D$92,F146,D$92-SUM(E$99:E146))</f>
        <v>0</v>
      </c>
      <c r="E147" s="485">
        <f t="shared" si="22"/>
        <v>0</v>
      </c>
      <c r="F147" s="486">
        <f t="shared" si="23"/>
        <v>0</v>
      </c>
      <c r="G147" s="486">
        <f t="shared" si="24"/>
        <v>0</v>
      </c>
      <c r="H147" s="487">
        <f t="shared" si="27"/>
        <v>0</v>
      </c>
      <c r="I147" s="543">
        <f t="shared" si="28"/>
        <v>0</v>
      </c>
      <c r="J147" s="479">
        <f t="shared" si="19"/>
        <v>0</v>
      </c>
      <c r="K147" s="479"/>
      <c r="L147" s="488"/>
      <c r="M147" s="479">
        <f t="shared" si="29"/>
        <v>0</v>
      </c>
      <c r="N147" s="488"/>
      <c r="O147" s="479">
        <f t="shared" si="30"/>
        <v>0</v>
      </c>
      <c r="P147" s="479">
        <f t="shared" si="31"/>
        <v>0</v>
      </c>
    </row>
    <row r="148" spans="2:16" ht="12.5">
      <c r="B148" s="160" t="str">
        <f t="shared" si="18"/>
        <v/>
      </c>
      <c r="C148" s="473">
        <f>IF(D93="","-",+C147+1)</f>
        <v>2063</v>
      </c>
      <c r="D148" s="347">
        <f>IF(F147+SUM(E$99:E147)=D$92,F147,D$92-SUM(E$99:E147))</f>
        <v>0</v>
      </c>
      <c r="E148" s="485">
        <f t="shared" si="22"/>
        <v>0</v>
      </c>
      <c r="F148" s="486">
        <f t="shared" si="23"/>
        <v>0</v>
      </c>
      <c r="G148" s="486">
        <f t="shared" si="24"/>
        <v>0</v>
      </c>
      <c r="H148" s="487">
        <f t="shared" si="27"/>
        <v>0</v>
      </c>
      <c r="I148" s="543">
        <f t="shared" si="28"/>
        <v>0</v>
      </c>
      <c r="J148" s="479">
        <f t="shared" si="19"/>
        <v>0</v>
      </c>
      <c r="K148" s="479"/>
      <c r="L148" s="488"/>
      <c r="M148" s="479">
        <f t="shared" si="29"/>
        <v>0</v>
      </c>
      <c r="N148" s="488"/>
      <c r="O148" s="479">
        <f t="shared" si="30"/>
        <v>0</v>
      </c>
      <c r="P148" s="479">
        <f t="shared" si="31"/>
        <v>0</v>
      </c>
    </row>
    <row r="149" spans="2:16" ht="12.5">
      <c r="B149" s="160" t="str">
        <f t="shared" si="18"/>
        <v/>
      </c>
      <c r="C149" s="473">
        <f>IF(D93="","-",+C148+1)</f>
        <v>2064</v>
      </c>
      <c r="D149" s="347">
        <f>IF(F148+SUM(E$99:E148)=D$92,F148,D$92-SUM(E$99:E148))</f>
        <v>0</v>
      </c>
      <c r="E149" s="485">
        <f t="shared" si="22"/>
        <v>0</v>
      </c>
      <c r="F149" s="486">
        <f t="shared" si="23"/>
        <v>0</v>
      </c>
      <c r="G149" s="486">
        <f t="shared" si="24"/>
        <v>0</v>
      </c>
      <c r="H149" s="487">
        <f t="shared" si="27"/>
        <v>0</v>
      </c>
      <c r="I149" s="543">
        <f t="shared" si="28"/>
        <v>0</v>
      </c>
      <c r="J149" s="479">
        <f t="shared" si="19"/>
        <v>0</v>
      </c>
      <c r="K149" s="479"/>
      <c r="L149" s="488"/>
      <c r="M149" s="479">
        <f t="shared" si="29"/>
        <v>0</v>
      </c>
      <c r="N149" s="488"/>
      <c r="O149" s="479">
        <f t="shared" si="30"/>
        <v>0</v>
      </c>
      <c r="P149" s="479">
        <f t="shared" si="31"/>
        <v>0</v>
      </c>
    </row>
    <row r="150" spans="2:16" ht="12.5">
      <c r="B150" s="160" t="str">
        <f t="shared" si="18"/>
        <v/>
      </c>
      <c r="C150" s="473">
        <f>IF(D93="","-",+C149+1)</f>
        <v>2065</v>
      </c>
      <c r="D150" s="347">
        <f>IF(F149+SUM(E$99:E149)=D$92,F149,D$92-SUM(E$99:E149))</f>
        <v>0</v>
      </c>
      <c r="E150" s="485">
        <f t="shared" si="22"/>
        <v>0</v>
      </c>
      <c r="F150" s="486">
        <f t="shared" si="23"/>
        <v>0</v>
      </c>
      <c r="G150" s="486">
        <f t="shared" si="24"/>
        <v>0</v>
      </c>
      <c r="H150" s="487">
        <f t="shared" si="27"/>
        <v>0</v>
      </c>
      <c r="I150" s="543">
        <f t="shared" si="28"/>
        <v>0</v>
      </c>
      <c r="J150" s="479">
        <f t="shared" si="19"/>
        <v>0</v>
      </c>
      <c r="K150" s="479"/>
      <c r="L150" s="488"/>
      <c r="M150" s="479">
        <f t="shared" si="29"/>
        <v>0</v>
      </c>
      <c r="N150" s="488"/>
      <c r="O150" s="479">
        <f t="shared" si="30"/>
        <v>0</v>
      </c>
      <c r="P150" s="479">
        <f t="shared" si="31"/>
        <v>0</v>
      </c>
    </row>
    <row r="151" spans="2:16" ht="12.5">
      <c r="B151" s="160" t="str">
        <f t="shared" si="18"/>
        <v/>
      </c>
      <c r="C151" s="473">
        <f>IF(D93="","-",+C150+1)</f>
        <v>2066</v>
      </c>
      <c r="D151" s="347">
        <f>IF(F150+SUM(E$99:E150)=D$92,F150,D$92-SUM(E$99:E150))</f>
        <v>0</v>
      </c>
      <c r="E151" s="485">
        <f t="shared" si="22"/>
        <v>0</v>
      </c>
      <c r="F151" s="486">
        <f t="shared" si="23"/>
        <v>0</v>
      </c>
      <c r="G151" s="486">
        <f t="shared" si="24"/>
        <v>0</v>
      </c>
      <c r="H151" s="487">
        <f t="shared" si="27"/>
        <v>0</v>
      </c>
      <c r="I151" s="543">
        <f t="shared" si="28"/>
        <v>0</v>
      </c>
      <c r="J151" s="479">
        <f t="shared" si="19"/>
        <v>0</v>
      </c>
      <c r="K151" s="479"/>
      <c r="L151" s="488"/>
      <c r="M151" s="479">
        <f t="shared" si="29"/>
        <v>0</v>
      </c>
      <c r="N151" s="488"/>
      <c r="O151" s="479">
        <f t="shared" si="30"/>
        <v>0</v>
      </c>
      <c r="P151" s="479">
        <f t="shared" si="31"/>
        <v>0</v>
      </c>
    </row>
    <row r="152" spans="2:16" ht="12.5">
      <c r="B152" s="160" t="str">
        <f t="shared" si="18"/>
        <v/>
      </c>
      <c r="C152" s="473">
        <f>IF(D93="","-",+C151+1)</f>
        <v>2067</v>
      </c>
      <c r="D152" s="347">
        <f>IF(F151+SUM(E$99:E151)=D$92,F151,D$92-SUM(E$99:E151))</f>
        <v>0</v>
      </c>
      <c r="E152" s="485">
        <f t="shared" si="22"/>
        <v>0</v>
      </c>
      <c r="F152" s="486">
        <f t="shared" si="23"/>
        <v>0</v>
      </c>
      <c r="G152" s="486">
        <f t="shared" si="24"/>
        <v>0</v>
      </c>
      <c r="H152" s="487">
        <f t="shared" si="27"/>
        <v>0</v>
      </c>
      <c r="I152" s="543">
        <f t="shared" si="28"/>
        <v>0</v>
      </c>
      <c r="J152" s="479">
        <f t="shared" si="19"/>
        <v>0</v>
      </c>
      <c r="K152" s="479"/>
      <c r="L152" s="488"/>
      <c r="M152" s="479">
        <f t="shared" si="29"/>
        <v>0</v>
      </c>
      <c r="N152" s="488"/>
      <c r="O152" s="479">
        <f t="shared" si="30"/>
        <v>0</v>
      </c>
      <c r="P152" s="479">
        <f t="shared" si="31"/>
        <v>0</v>
      </c>
    </row>
    <row r="153" spans="2:16" ht="12.5">
      <c r="B153" s="160" t="str">
        <f t="shared" si="18"/>
        <v/>
      </c>
      <c r="C153" s="473">
        <f>IF(D93="","-",+C152+1)</f>
        <v>2068</v>
      </c>
      <c r="D153" s="347">
        <f>IF(F152+SUM(E$99:E152)=D$92,F152,D$92-SUM(E$99:E152))</f>
        <v>0</v>
      </c>
      <c r="E153" s="485">
        <f t="shared" si="22"/>
        <v>0</v>
      </c>
      <c r="F153" s="486">
        <f t="shared" si="23"/>
        <v>0</v>
      </c>
      <c r="G153" s="486">
        <f t="shared" si="24"/>
        <v>0</v>
      </c>
      <c r="H153" s="487">
        <f t="shared" si="27"/>
        <v>0</v>
      </c>
      <c r="I153" s="543">
        <f t="shared" si="28"/>
        <v>0</v>
      </c>
      <c r="J153" s="479">
        <f t="shared" si="19"/>
        <v>0</v>
      </c>
      <c r="K153" s="479"/>
      <c r="L153" s="488"/>
      <c r="M153" s="479">
        <f t="shared" si="29"/>
        <v>0</v>
      </c>
      <c r="N153" s="488"/>
      <c r="O153" s="479">
        <f t="shared" si="30"/>
        <v>0</v>
      </c>
      <c r="P153" s="479">
        <f t="shared" si="31"/>
        <v>0</v>
      </c>
    </row>
    <row r="154" spans="2:16" ht="13" thickBot="1">
      <c r="B154" s="160" t="str">
        <f t="shared" si="18"/>
        <v/>
      </c>
      <c r="C154" s="490">
        <f>IF(D93="","-",+C153+1)</f>
        <v>2069</v>
      </c>
      <c r="D154" s="577">
        <f>IF(F153+SUM(E$99:E153)=D$92,F153,D$92-SUM(E$99:E153))</f>
        <v>0</v>
      </c>
      <c r="E154" s="492">
        <f t="shared" si="22"/>
        <v>0</v>
      </c>
      <c r="F154" s="491">
        <f t="shared" si="23"/>
        <v>0</v>
      </c>
      <c r="G154" s="491">
        <f t="shared" si="24"/>
        <v>0</v>
      </c>
      <c r="H154" s="493">
        <f t="shared" ref="H154" si="32">+J$94*G154+E154</f>
        <v>0</v>
      </c>
      <c r="I154" s="546">
        <f t="shared" si="25"/>
        <v>0</v>
      </c>
      <c r="J154" s="496">
        <f t="shared" si="19"/>
        <v>0</v>
      </c>
      <c r="K154" s="479"/>
      <c r="L154" s="495"/>
      <c r="M154" s="496">
        <f t="shared" si="29"/>
        <v>0</v>
      </c>
      <c r="N154" s="495"/>
      <c r="O154" s="496">
        <f t="shared" si="30"/>
        <v>0</v>
      </c>
      <c r="P154" s="496">
        <f t="shared" si="31"/>
        <v>0</v>
      </c>
    </row>
    <row r="155" spans="2:16" ht="12.5">
      <c r="C155" s="347" t="s">
        <v>77</v>
      </c>
      <c r="D155" s="348"/>
      <c r="E155" s="348">
        <f>SUM(E99:E154)</f>
        <v>1725647</v>
      </c>
      <c r="F155" s="348"/>
      <c r="G155" s="348"/>
      <c r="H155" s="348">
        <f>SUM(H99:H154)</f>
        <v>6089173.9908398408</v>
      </c>
      <c r="I155" s="348">
        <f>SUM(I99:I154)</f>
        <v>6089173.9908398408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P162"/>
  <sheetViews>
    <sheetView view="pageBreakPreview" topLeftCell="A58" zoomScale="78" zoomScaleNormal="100" zoomScaleSheetLayoutView="78" workbookViewId="0">
      <selection activeCell="D101" sqref="D101:I10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19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165989.58089219453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165989.58089219453</v>
      </c>
      <c r="O6" s="233"/>
      <c r="P6" s="233"/>
    </row>
    <row r="7" spans="1:16" ht="13.5" thickBot="1">
      <c r="C7" s="432" t="s">
        <v>46</v>
      </c>
      <c r="D7" s="600" t="s">
        <v>281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296</v>
      </c>
      <c r="E9" s="578" t="s">
        <v>297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1338978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2017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3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31139.023255813954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2017</v>
      </c>
      <c r="D17" s="585">
        <v>0</v>
      </c>
      <c r="E17" s="609">
        <v>21831.16304347826</v>
      </c>
      <c r="F17" s="585">
        <v>1317146.8369565217</v>
      </c>
      <c r="G17" s="609">
        <v>105641.6474528401</v>
      </c>
      <c r="H17" s="588">
        <v>105641.6474528401</v>
      </c>
      <c r="I17" s="476">
        <f t="shared" ref="I17:I72" si="0">H17-G17</f>
        <v>0</v>
      </c>
      <c r="J17" s="476"/>
      <c r="K17" s="478">
        <f>+G17</f>
        <v>105641.6474528401</v>
      </c>
      <c r="L17" s="478">
        <f t="shared" ref="L17:L72" si="1">IF(K17&lt;&gt;0,+G17-K17,0)</f>
        <v>0</v>
      </c>
      <c r="M17" s="478">
        <f>+H17</f>
        <v>105641.6474528401</v>
      </c>
      <c r="N17" s="478">
        <f t="shared" ref="N17:N72" si="2">IF(M17&lt;&gt;0,+H17-M17,0)</f>
        <v>0</v>
      </c>
      <c r="O17" s="479">
        <f t="shared" ref="O17:O72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2018</v>
      </c>
      <c r="D18" s="585">
        <v>1317146.8369565217</v>
      </c>
      <c r="E18" s="586">
        <v>29755.066666666666</v>
      </c>
      <c r="F18" s="585">
        <v>1287391.7702898551</v>
      </c>
      <c r="G18" s="586">
        <v>205998.2169756256</v>
      </c>
      <c r="H18" s="588">
        <v>205998.2169756256</v>
      </c>
      <c r="I18" s="476">
        <f t="shared" si="0"/>
        <v>0</v>
      </c>
      <c r="J18" s="476"/>
      <c r="K18" s="479">
        <f>+G18</f>
        <v>205998.2169756256</v>
      </c>
      <c r="L18" s="479">
        <f t="shared" si="1"/>
        <v>0</v>
      </c>
      <c r="M18" s="479">
        <f>+H18</f>
        <v>205998.2169756256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2019</v>
      </c>
      <c r="D19" s="585">
        <v>1287391.7702898551</v>
      </c>
      <c r="E19" s="586">
        <v>29755.066666666666</v>
      </c>
      <c r="F19" s="585">
        <v>1257636.7036231884</v>
      </c>
      <c r="G19" s="586">
        <v>201971.30282476899</v>
      </c>
      <c r="H19" s="588">
        <v>201971.30282476899</v>
      </c>
      <c r="I19" s="476">
        <f t="shared" si="0"/>
        <v>0</v>
      </c>
      <c r="J19" s="476"/>
      <c r="K19" s="479">
        <f>+G19</f>
        <v>201971.30282476899</v>
      </c>
      <c r="L19" s="479">
        <f t="shared" ref="L19" si="4">IF(K19&lt;&gt;0,+G19-K19,0)</f>
        <v>0</v>
      </c>
      <c r="M19" s="479">
        <f>+H19</f>
        <v>201971.30282476899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5">IF(D20=F19,"","IU")</f>
        <v/>
      </c>
      <c r="C20" s="473">
        <f>IF(D11="","-",+C19+1)</f>
        <v>2020</v>
      </c>
      <c r="D20" s="585">
        <v>1257636.7036231884</v>
      </c>
      <c r="E20" s="586">
        <v>31880.428571428572</v>
      </c>
      <c r="F20" s="585">
        <v>1225756.2750517598</v>
      </c>
      <c r="G20" s="586">
        <v>165989.58089219453</v>
      </c>
      <c r="H20" s="588">
        <v>165989.58089219453</v>
      </c>
      <c r="I20" s="476">
        <f t="shared" si="0"/>
        <v>0</v>
      </c>
      <c r="J20" s="476"/>
      <c r="K20" s="479">
        <f>+G20</f>
        <v>165989.58089219453</v>
      </c>
      <c r="L20" s="479">
        <f t="shared" ref="L20" si="6">IF(K20&lt;&gt;0,+G20-K20,0)</f>
        <v>0</v>
      </c>
      <c r="M20" s="479">
        <f>+H20</f>
        <v>165989.58089219453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5"/>
        <v/>
      </c>
      <c r="C21" s="473">
        <f>IF(D11="","-",+C20+1)</f>
        <v>2021</v>
      </c>
      <c r="D21" s="484">
        <f>IF(F20+SUM(E$17:E20)=D$10,F20,D$10-SUM(E$17:E20))</f>
        <v>1225756.2750517598</v>
      </c>
      <c r="E21" s="485">
        <f t="shared" ref="E21:E72" si="7">IF(+I$14&lt;F20,I$14,D21)</f>
        <v>31139.023255813954</v>
      </c>
      <c r="F21" s="486">
        <f t="shared" ref="F21:F72" si="8">+D21-E21</f>
        <v>1194617.2517959459</v>
      </c>
      <c r="G21" s="487">
        <f t="shared" ref="G21:G72" si="9">(D21+F21)/2*I$12+E21</f>
        <v>170378.67723167327</v>
      </c>
      <c r="H21" s="456">
        <f t="shared" ref="H21:H72" si="10">+(D21+F21)/2*I$13+E21</f>
        <v>170378.67723167327</v>
      </c>
      <c r="I21" s="476">
        <f t="shared" si="0"/>
        <v>0</v>
      </c>
      <c r="J21" s="476"/>
      <c r="K21" s="488"/>
      <c r="L21" s="479">
        <f t="shared" si="1"/>
        <v>0</v>
      </c>
      <c r="M21" s="488"/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5"/>
        <v/>
      </c>
      <c r="C22" s="473">
        <f>IF(D11="","-",+C21+1)</f>
        <v>2022</v>
      </c>
      <c r="D22" s="484">
        <f>IF(F21+SUM(E$17:E21)=D$10,F21,D$10-SUM(E$17:E21))</f>
        <v>1194617.2517959459</v>
      </c>
      <c r="E22" s="485">
        <f t="shared" si="7"/>
        <v>31139.023255813954</v>
      </c>
      <c r="F22" s="486">
        <f t="shared" si="8"/>
        <v>1163478.2285401321</v>
      </c>
      <c r="G22" s="487">
        <f t="shared" si="9"/>
        <v>166795.93533238245</v>
      </c>
      <c r="H22" s="456">
        <f t="shared" si="10"/>
        <v>166795.93533238245</v>
      </c>
      <c r="I22" s="476">
        <f t="shared" si="0"/>
        <v>0</v>
      </c>
      <c r="J22" s="476"/>
      <c r="K22" s="488"/>
      <c r="L22" s="479">
        <f t="shared" si="1"/>
        <v>0</v>
      </c>
      <c r="M22" s="488"/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5"/>
        <v/>
      </c>
      <c r="C23" s="473">
        <f>IF(D11="","-",+C22+1)</f>
        <v>2023</v>
      </c>
      <c r="D23" s="484">
        <f>IF(F22+SUM(E$17:E22)=D$10,F22,D$10-SUM(E$17:E22))</f>
        <v>1163478.2285401321</v>
      </c>
      <c r="E23" s="485">
        <f t="shared" si="7"/>
        <v>31139.023255813954</v>
      </c>
      <c r="F23" s="486">
        <f t="shared" si="8"/>
        <v>1132339.2052843182</v>
      </c>
      <c r="G23" s="487">
        <f t="shared" si="9"/>
        <v>163213.19343309166</v>
      </c>
      <c r="H23" s="456">
        <f t="shared" si="10"/>
        <v>163213.19343309166</v>
      </c>
      <c r="I23" s="476">
        <f t="shared" si="0"/>
        <v>0</v>
      </c>
      <c r="J23" s="476"/>
      <c r="K23" s="488"/>
      <c r="L23" s="479">
        <f t="shared" si="1"/>
        <v>0</v>
      </c>
      <c r="M23" s="488"/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5"/>
        <v/>
      </c>
      <c r="C24" s="473">
        <f>IF(D11="","-",+C23+1)</f>
        <v>2024</v>
      </c>
      <c r="D24" s="484">
        <f>IF(F23+SUM(E$17:E23)=D$10,F23,D$10-SUM(E$17:E23))</f>
        <v>1132339.2052843182</v>
      </c>
      <c r="E24" s="485">
        <f t="shared" si="7"/>
        <v>31139.023255813954</v>
      </c>
      <c r="F24" s="486">
        <f t="shared" si="8"/>
        <v>1101200.1820285043</v>
      </c>
      <c r="G24" s="487">
        <f t="shared" si="9"/>
        <v>159630.45153380086</v>
      </c>
      <c r="H24" s="456">
        <f t="shared" si="10"/>
        <v>159630.45153380086</v>
      </c>
      <c r="I24" s="476">
        <f t="shared" si="0"/>
        <v>0</v>
      </c>
      <c r="J24" s="476"/>
      <c r="K24" s="488"/>
      <c r="L24" s="479">
        <f t="shared" si="1"/>
        <v>0</v>
      </c>
      <c r="M24" s="488"/>
      <c r="N24" s="479">
        <f t="shared" si="2"/>
        <v>0</v>
      </c>
      <c r="O24" s="479">
        <f t="shared" si="3"/>
        <v>0</v>
      </c>
      <c r="P24" s="243"/>
    </row>
    <row r="25" spans="2:16" ht="12.5">
      <c r="B25" s="160" t="str">
        <f t="shared" si="5"/>
        <v/>
      </c>
      <c r="C25" s="473">
        <f>IF(D11="","-",+C24+1)</f>
        <v>2025</v>
      </c>
      <c r="D25" s="484">
        <f>IF(F24+SUM(E$17:E24)=D$10,F24,D$10-SUM(E$17:E24))</f>
        <v>1101200.1820285043</v>
      </c>
      <c r="E25" s="485">
        <f t="shared" si="7"/>
        <v>31139.023255813954</v>
      </c>
      <c r="F25" s="486">
        <f t="shared" si="8"/>
        <v>1070061.1587726905</v>
      </c>
      <c r="G25" s="487">
        <f t="shared" si="9"/>
        <v>156047.70963451007</v>
      </c>
      <c r="H25" s="456">
        <f t="shared" si="10"/>
        <v>156047.70963451007</v>
      </c>
      <c r="I25" s="476">
        <f t="shared" si="0"/>
        <v>0</v>
      </c>
      <c r="J25" s="476"/>
      <c r="K25" s="488"/>
      <c r="L25" s="479">
        <f t="shared" si="1"/>
        <v>0</v>
      </c>
      <c r="M25" s="488"/>
      <c r="N25" s="479">
        <f t="shared" si="2"/>
        <v>0</v>
      </c>
      <c r="O25" s="479">
        <f t="shared" si="3"/>
        <v>0</v>
      </c>
      <c r="P25" s="243"/>
    </row>
    <row r="26" spans="2:16" ht="12.5">
      <c r="B26" s="160" t="str">
        <f t="shared" si="5"/>
        <v/>
      </c>
      <c r="C26" s="473">
        <f>IF(D11="","-",+C25+1)</f>
        <v>2026</v>
      </c>
      <c r="D26" s="484">
        <f>IF(F25+SUM(E$17:E25)=D$10,F25,D$10-SUM(E$17:E25))</f>
        <v>1070061.1587726905</v>
      </c>
      <c r="E26" s="485">
        <f t="shared" si="7"/>
        <v>31139.023255813954</v>
      </c>
      <c r="F26" s="486">
        <f t="shared" si="8"/>
        <v>1038922.1355168765</v>
      </c>
      <c r="G26" s="487">
        <f t="shared" si="9"/>
        <v>152464.96773521928</v>
      </c>
      <c r="H26" s="456">
        <f t="shared" si="10"/>
        <v>152464.96773521928</v>
      </c>
      <c r="I26" s="476">
        <f t="shared" si="0"/>
        <v>0</v>
      </c>
      <c r="J26" s="476"/>
      <c r="K26" s="488"/>
      <c r="L26" s="479">
        <f t="shared" si="1"/>
        <v>0</v>
      </c>
      <c r="M26" s="488"/>
      <c r="N26" s="479">
        <f t="shared" si="2"/>
        <v>0</v>
      </c>
      <c r="O26" s="479">
        <f t="shared" si="3"/>
        <v>0</v>
      </c>
      <c r="P26" s="243"/>
    </row>
    <row r="27" spans="2:16" ht="12.5">
      <c r="B27" s="160" t="str">
        <f t="shared" si="5"/>
        <v/>
      </c>
      <c r="C27" s="473">
        <f>IF(D11="","-",+C26+1)</f>
        <v>2027</v>
      </c>
      <c r="D27" s="484">
        <f>IF(F26+SUM(E$17:E26)=D$10,F26,D$10-SUM(E$17:E26))</f>
        <v>1038922.1355168765</v>
      </c>
      <c r="E27" s="485">
        <f t="shared" si="7"/>
        <v>31139.023255813954</v>
      </c>
      <c r="F27" s="486">
        <f t="shared" si="8"/>
        <v>1007783.1122610625</v>
      </c>
      <c r="G27" s="487">
        <f t="shared" si="9"/>
        <v>148882.22583592846</v>
      </c>
      <c r="H27" s="456">
        <f t="shared" si="10"/>
        <v>148882.22583592846</v>
      </c>
      <c r="I27" s="476">
        <f t="shared" si="0"/>
        <v>0</v>
      </c>
      <c r="J27" s="476"/>
      <c r="K27" s="488"/>
      <c r="L27" s="479">
        <f t="shared" si="1"/>
        <v>0</v>
      </c>
      <c r="M27" s="488"/>
      <c r="N27" s="479">
        <f t="shared" si="2"/>
        <v>0</v>
      </c>
      <c r="O27" s="479">
        <f t="shared" si="3"/>
        <v>0</v>
      </c>
      <c r="P27" s="243"/>
    </row>
    <row r="28" spans="2:16" ht="12.5">
      <c r="B28" s="160" t="str">
        <f t="shared" si="5"/>
        <v/>
      </c>
      <c r="C28" s="473">
        <f>IF(D11="","-",+C27+1)</f>
        <v>2028</v>
      </c>
      <c r="D28" s="484">
        <f>IF(F27+SUM(E$17:E27)=D$10,F27,D$10-SUM(E$17:E27))</f>
        <v>1007783.1122610625</v>
      </c>
      <c r="E28" s="485">
        <f t="shared" si="7"/>
        <v>31139.023255813954</v>
      </c>
      <c r="F28" s="486">
        <f t="shared" si="8"/>
        <v>976644.0890052485</v>
      </c>
      <c r="G28" s="487">
        <f t="shared" si="9"/>
        <v>145299.48393663764</v>
      </c>
      <c r="H28" s="456">
        <f t="shared" si="10"/>
        <v>145299.48393663764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5"/>
        <v/>
      </c>
      <c r="C29" s="473">
        <f>IF(D11="","-",+C28+1)</f>
        <v>2029</v>
      </c>
      <c r="D29" s="484">
        <f>IF(F28+SUM(E$17:E28)=D$10,F28,D$10-SUM(E$17:E28))</f>
        <v>976644.0890052485</v>
      </c>
      <c r="E29" s="485">
        <f t="shared" si="7"/>
        <v>31139.023255813954</v>
      </c>
      <c r="F29" s="486">
        <f t="shared" si="8"/>
        <v>945505.06574943452</v>
      </c>
      <c r="G29" s="487">
        <f t="shared" si="9"/>
        <v>141716.74203734682</v>
      </c>
      <c r="H29" s="456">
        <f t="shared" si="10"/>
        <v>141716.74203734682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5"/>
        <v/>
      </c>
      <c r="C30" s="473">
        <f>IF(D11="","-",+C29+1)</f>
        <v>2030</v>
      </c>
      <c r="D30" s="484">
        <f>IF(F29+SUM(E$17:E29)=D$10,F29,D$10-SUM(E$17:E29))</f>
        <v>945505.06574943452</v>
      </c>
      <c r="E30" s="485">
        <f t="shared" si="7"/>
        <v>31139.023255813954</v>
      </c>
      <c r="F30" s="486">
        <f t="shared" si="8"/>
        <v>914366.04249362054</v>
      </c>
      <c r="G30" s="487">
        <f t="shared" si="9"/>
        <v>138134.000138056</v>
      </c>
      <c r="H30" s="456">
        <f t="shared" si="10"/>
        <v>138134.000138056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5"/>
        <v/>
      </c>
      <c r="C31" s="473">
        <f>IF(D11="","-",+C30+1)</f>
        <v>2031</v>
      </c>
      <c r="D31" s="484">
        <f>IF(F30+SUM(E$17:E30)=D$10,F30,D$10-SUM(E$17:E30))</f>
        <v>914366.04249362054</v>
      </c>
      <c r="E31" s="485">
        <f t="shared" si="7"/>
        <v>31139.023255813954</v>
      </c>
      <c r="F31" s="486">
        <f t="shared" si="8"/>
        <v>883227.01923780655</v>
      </c>
      <c r="G31" s="487">
        <f t="shared" si="9"/>
        <v>134551.25823876518</v>
      </c>
      <c r="H31" s="456">
        <f t="shared" si="10"/>
        <v>134551.25823876518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5"/>
        <v/>
      </c>
      <c r="C32" s="473">
        <f>IF(D11="","-",+C31+1)</f>
        <v>2032</v>
      </c>
      <c r="D32" s="484">
        <f>IF(F31+SUM(E$17:E31)=D$10,F31,D$10-SUM(E$17:E31))</f>
        <v>883227.01923780655</v>
      </c>
      <c r="E32" s="485">
        <f t="shared" si="7"/>
        <v>31139.023255813954</v>
      </c>
      <c r="F32" s="486">
        <f t="shared" si="8"/>
        <v>852087.99598199257</v>
      </c>
      <c r="G32" s="487">
        <f t="shared" si="9"/>
        <v>130968.5163394744</v>
      </c>
      <c r="H32" s="456">
        <f t="shared" si="10"/>
        <v>130968.5163394744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5"/>
        <v/>
      </c>
      <c r="C33" s="473">
        <f>IF(D11="","-",+C32+1)</f>
        <v>2033</v>
      </c>
      <c r="D33" s="484">
        <f>IF(F32+SUM(E$17:E32)=D$10,F32,D$10-SUM(E$17:E32))</f>
        <v>852087.99598199257</v>
      </c>
      <c r="E33" s="485">
        <f t="shared" si="7"/>
        <v>31139.023255813954</v>
      </c>
      <c r="F33" s="486">
        <f t="shared" si="8"/>
        <v>820948.97272617859</v>
      </c>
      <c r="G33" s="487">
        <f t="shared" si="9"/>
        <v>127385.77444018357</v>
      </c>
      <c r="H33" s="456">
        <f t="shared" si="10"/>
        <v>127385.77444018357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5"/>
        <v/>
      </c>
      <c r="C34" s="473">
        <f>IF(D11="","-",+C33+1)</f>
        <v>2034</v>
      </c>
      <c r="D34" s="484">
        <f>IF(F33+SUM(E$17:E33)=D$10,F33,D$10-SUM(E$17:E33))</f>
        <v>820948.97272617859</v>
      </c>
      <c r="E34" s="485">
        <f t="shared" si="7"/>
        <v>31139.023255813954</v>
      </c>
      <c r="F34" s="486">
        <f t="shared" si="8"/>
        <v>789809.94947036461</v>
      </c>
      <c r="G34" s="487">
        <f t="shared" si="9"/>
        <v>123803.03254089277</v>
      </c>
      <c r="H34" s="456">
        <f t="shared" si="10"/>
        <v>123803.03254089277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5"/>
        <v/>
      </c>
      <c r="C35" s="473">
        <f>IF(D11="","-",+C34+1)</f>
        <v>2035</v>
      </c>
      <c r="D35" s="484">
        <f>IF(F34+SUM(E$17:E34)=D$10,F34,D$10-SUM(E$17:E34))</f>
        <v>789809.94947036461</v>
      </c>
      <c r="E35" s="485">
        <f t="shared" si="7"/>
        <v>31139.023255813954</v>
      </c>
      <c r="F35" s="486">
        <f t="shared" si="8"/>
        <v>758670.92621455062</v>
      </c>
      <c r="G35" s="487">
        <f t="shared" si="9"/>
        <v>120220.29064160195</v>
      </c>
      <c r="H35" s="456">
        <f t="shared" si="10"/>
        <v>120220.29064160195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5"/>
        <v/>
      </c>
      <c r="C36" s="473">
        <f>IF(D11="","-",+C35+1)</f>
        <v>2036</v>
      </c>
      <c r="D36" s="484">
        <f>IF(F35+SUM(E$17:E35)=D$10,F35,D$10-SUM(E$17:E35))</f>
        <v>758670.92621455062</v>
      </c>
      <c r="E36" s="485">
        <f t="shared" si="7"/>
        <v>31139.023255813954</v>
      </c>
      <c r="F36" s="486">
        <f t="shared" si="8"/>
        <v>727531.90295873664</v>
      </c>
      <c r="G36" s="487">
        <f t="shared" si="9"/>
        <v>116637.54874231115</v>
      </c>
      <c r="H36" s="456">
        <f t="shared" si="10"/>
        <v>116637.54874231115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5"/>
        <v/>
      </c>
      <c r="C37" s="473">
        <f>IF(D11="","-",+C36+1)</f>
        <v>2037</v>
      </c>
      <c r="D37" s="484">
        <f>IF(F36+SUM(E$17:E36)=D$10,F36,D$10-SUM(E$17:E36))</f>
        <v>727531.90295873664</v>
      </c>
      <c r="E37" s="485">
        <f t="shared" si="7"/>
        <v>31139.023255813954</v>
      </c>
      <c r="F37" s="486">
        <f t="shared" si="8"/>
        <v>696392.87970292266</v>
      </c>
      <c r="G37" s="487">
        <f t="shared" si="9"/>
        <v>113054.80684302033</v>
      </c>
      <c r="H37" s="456">
        <f t="shared" si="10"/>
        <v>113054.80684302033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5"/>
        <v/>
      </c>
      <c r="C38" s="473">
        <f>IF(D11="","-",+C37+1)</f>
        <v>2038</v>
      </c>
      <c r="D38" s="484">
        <f>IF(F37+SUM(E$17:E37)=D$10,F37,D$10-SUM(E$17:E37))</f>
        <v>696392.87970292266</v>
      </c>
      <c r="E38" s="485">
        <f t="shared" si="7"/>
        <v>31139.023255813954</v>
      </c>
      <c r="F38" s="486">
        <f t="shared" si="8"/>
        <v>665253.85644710867</v>
      </c>
      <c r="G38" s="487">
        <f t="shared" si="9"/>
        <v>109472.06494372952</v>
      </c>
      <c r="H38" s="456">
        <f t="shared" si="10"/>
        <v>109472.06494372952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5"/>
        <v/>
      </c>
      <c r="C39" s="473">
        <f>IF(D11="","-",+C38+1)</f>
        <v>2039</v>
      </c>
      <c r="D39" s="484">
        <f>IF(F38+SUM(E$17:E38)=D$10,F38,D$10-SUM(E$17:E38))</f>
        <v>665253.85644710867</v>
      </c>
      <c r="E39" s="485">
        <f t="shared" si="7"/>
        <v>31139.023255813954</v>
      </c>
      <c r="F39" s="486">
        <f t="shared" si="8"/>
        <v>634114.83319129469</v>
      </c>
      <c r="G39" s="487">
        <f t="shared" si="9"/>
        <v>105889.3230444387</v>
      </c>
      <c r="H39" s="456">
        <f t="shared" si="10"/>
        <v>105889.3230444387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5"/>
        <v/>
      </c>
      <c r="C40" s="473">
        <f>IF(D11="","-",+C39+1)</f>
        <v>2040</v>
      </c>
      <c r="D40" s="484">
        <f>IF(F39+SUM(E$17:E39)=D$10,F39,D$10-SUM(E$17:E39))</f>
        <v>634114.83319129469</v>
      </c>
      <c r="E40" s="485">
        <f t="shared" si="7"/>
        <v>31139.023255813954</v>
      </c>
      <c r="F40" s="486">
        <f t="shared" si="8"/>
        <v>602975.80993548071</v>
      </c>
      <c r="G40" s="487">
        <f t="shared" si="9"/>
        <v>102306.58114514791</v>
      </c>
      <c r="H40" s="456">
        <f t="shared" si="10"/>
        <v>102306.58114514791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5"/>
        <v/>
      </c>
      <c r="C41" s="473">
        <f>IF(D11="","-",+C40+1)</f>
        <v>2041</v>
      </c>
      <c r="D41" s="484">
        <f>IF(F40+SUM(E$17:E40)=D$10,F40,D$10-SUM(E$17:E40))</f>
        <v>602975.80993548071</v>
      </c>
      <c r="E41" s="485">
        <f t="shared" si="7"/>
        <v>31139.023255813954</v>
      </c>
      <c r="F41" s="486">
        <f t="shared" si="8"/>
        <v>571836.78667966672</v>
      </c>
      <c r="G41" s="487">
        <f t="shared" si="9"/>
        <v>98723.839245857074</v>
      </c>
      <c r="H41" s="456">
        <f t="shared" si="10"/>
        <v>98723.839245857074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5"/>
        <v/>
      </c>
      <c r="C42" s="473">
        <f>IF(D11="","-",+C41+1)</f>
        <v>2042</v>
      </c>
      <c r="D42" s="484">
        <f>IF(F41+SUM(E$17:E41)=D$10,F41,D$10-SUM(E$17:E41))</f>
        <v>571836.78667966672</v>
      </c>
      <c r="E42" s="485">
        <f t="shared" si="7"/>
        <v>31139.023255813954</v>
      </c>
      <c r="F42" s="486">
        <f t="shared" si="8"/>
        <v>540697.76342385274</v>
      </c>
      <c r="G42" s="487">
        <f t="shared" si="9"/>
        <v>95141.097346566283</v>
      </c>
      <c r="H42" s="456">
        <f t="shared" si="10"/>
        <v>95141.097346566283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5"/>
        <v/>
      </c>
      <c r="C43" s="473">
        <f>IF(D11="","-",+C42+1)</f>
        <v>2043</v>
      </c>
      <c r="D43" s="484">
        <f>IF(F42+SUM(E$17:E42)=D$10,F42,D$10-SUM(E$17:E42))</f>
        <v>540697.76342385274</v>
      </c>
      <c r="E43" s="485">
        <f t="shared" si="7"/>
        <v>31139.023255813954</v>
      </c>
      <c r="F43" s="486">
        <f t="shared" si="8"/>
        <v>509558.74016803876</v>
      </c>
      <c r="G43" s="487">
        <f t="shared" si="9"/>
        <v>91558.355447275448</v>
      </c>
      <c r="H43" s="456">
        <f t="shared" si="10"/>
        <v>91558.355447275448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5"/>
        <v/>
      </c>
      <c r="C44" s="473">
        <f>IF(D11="","-",+C43+1)</f>
        <v>2044</v>
      </c>
      <c r="D44" s="484">
        <f>IF(F43+SUM(E$17:E43)=D$10,F43,D$10-SUM(E$17:E43))</f>
        <v>509558.74016803876</v>
      </c>
      <c r="E44" s="485">
        <f t="shared" si="7"/>
        <v>31139.023255813954</v>
      </c>
      <c r="F44" s="486">
        <f t="shared" si="8"/>
        <v>478419.71691222477</v>
      </c>
      <c r="G44" s="487">
        <f t="shared" si="9"/>
        <v>87975.613547984656</v>
      </c>
      <c r="H44" s="456">
        <f t="shared" si="10"/>
        <v>87975.613547984656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5"/>
        <v/>
      </c>
      <c r="C45" s="473">
        <f>IF(D11="","-",+C44+1)</f>
        <v>2045</v>
      </c>
      <c r="D45" s="484">
        <f>IF(F44+SUM(E$17:E44)=D$10,F44,D$10-SUM(E$17:E44))</f>
        <v>478419.71691222477</v>
      </c>
      <c r="E45" s="485">
        <f t="shared" si="7"/>
        <v>31139.023255813954</v>
      </c>
      <c r="F45" s="486">
        <f t="shared" si="8"/>
        <v>447280.69365641079</v>
      </c>
      <c r="G45" s="487">
        <f t="shared" si="9"/>
        <v>84392.871648693836</v>
      </c>
      <c r="H45" s="456">
        <f t="shared" si="10"/>
        <v>84392.871648693836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5"/>
        <v/>
      </c>
      <c r="C46" s="473">
        <f>IF(D11="","-",+C45+1)</f>
        <v>2046</v>
      </c>
      <c r="D46" s="484">
        <f>IF(F45+SUM(E$17:E45)=D$10,F45,D$10-SUM(E$17:E45))</f>
        <v>447280.69365641079</v>
      </c>
      <c r="E46" s="485">
        <f t="shared" si="7"/>
        <v>31139.023255813954</v>
      </c>
      <c r="F46" s="486">
        <f t="shared" si="8"/>
        <v>416141.67040059681</v>
      </c>
      <c r="G46" s="487">
        <f t="shared" si="9"/>
        <v>80810.129749403015</v>
      </c>
      <c r="H46" s="456">
        <f t="shared" si="10"/>
        <v>80810.129749403015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5"/>
        <v/>
      </c>
      <c r="C47" s="473">
        <f>IF(D11="","-",+C46+1)</f>
        <v>2047</v>
      </c>
      <c r="D47" s="484">
        <f>IF(F46+SUM(E$17:E46)=D$10,F46,D$10-SUM(E$17:E46))</f>
        <v>416141.67040059681</v>
      </c>
      <c r="E47" s="485">
        <f t="shared" si="7"/>
        <v>31139.023255813954</v>
      </c>
      <c r="F47" s="486">
        <f t="shared" si="8"/>
        <v>385002.64714478282</v>
      </c>
      <c r="G47" s="487">
        <f t="shared" si="9"/>
        <v>77227.387850112224</v>
      </c>
      <c r="H47" s="456">
        <f t="shared" si="10"/>
        <v>77227.387850112224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5"/>
        <v/>
      </c>
      <c r="C48" s="473">
        <f>IF(D11="","-",+C47+1)</f>
        <v>2048</v>
      </c>
      <c r="D48" s="484">
        <f>IF(F47+SUM(E$17:E47)=D$10,F47,D$10-SUM(E$17:E47))</f>
        <v>385002.64714478282</v>
      </c>
      <c r="E48" s="485">
        <f t="shared" si="7"/>
        <v>31139.023255813954</v>
      </c>
      <c r="F48" s="486">
        <f t="shared" si="8"/>
        <v>353863.62388896884</v>
      </c>
      <c r="G48" s="487">
        <f t="shared" si="9"/>
        <v>73644.645950821403</v>
      </c>
      <c r="H48" s="456">
        <f t="shared" si="10"/>
        <v>73644.645950821403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5"/>
        <v/>
      </c>
      <c r="C49" s="473">
        <f>IF(D11="","-",+C48+1)</f>
        <v>2049</v>
      </c>
      <c r="D49" s="484">
        <f>IF(F48+SUM(E$17:E48)=D$10,F48,D$10-SUM(E$17:E48))</f>
        <v>353863.62388896884</v>
      </c>
      <c r="E49" s="485">
        <f t="shared" si="7"/>
        <v>31139.023255813954</v>
      </c>
      <c r="F49" s="486">
        <f t="shared" si="8"/>
        <v>322724.60063315486</v>
      </c>
      <c r="G49" s="487">
        <f t="shared" si="9"/>
        <v>70061.904051530582</v>
      </c>
      <c r="H49" s="456">
        <f t="shared" si="10"/>
        <v>70061.904051530582</v>
      </c>
      <c r="I49" s="476">
        <f t="shared" si="0"/>
        <v>0</v>
      </c>
      <c r="J49" s="476"/>
      <c r="K49" s="488"/>
      <c r="L49" s="479">
        <f t="shared" si="1"/>
        <v>0</v>
      </c>
      <c r="M49" s="488"/>
      <c r="N49" s="479">
        <f t="shared" si="2"/>
        <v>0</v>
      </c>
      <c r="O49" s="479">
        <f t="shared" si="3"/>
        <v>0</v>
      </c>
      <c r="P49" s="243"/>
    </row>
    <row r="50" spans="2:16" ht="12.5">
      <c r="B50" s="160" t="str">
        <f t="shared" si="5"/>
        <v/>
      </c>
      <c r="C50" s="473">
        <f>IF(D11="","-",+C49+1)</f>
        <v>2050</v>
      </c>
      <c r="D50" s="484">
        <f>IF(F49+SUM(E$17:E49)=D$10,F49,D$10-SUM(E$17:E49))</f>
        <v>322724.60063315486</v>
      </c>
      <c r="E50" s="485">
        <f t="shared" si="7"/>
        <v>31139.023255813954</v>
      </c>
      <c r="F50" s="486">
        <f t="shared" si="8"/>
        <v>291585.57737734087</v>
      </c>
      <c r="G50" s="487">
        <f t="shared" si="9"/>
        <v>66479.162152239776</v>
      </c>
      <c r="H50" s="456">
        <f t="shared" si="10"/>
        <v>66479.162152239776</v>
      </c>
      <c r="I50" s="476">
        <f t="shared" si="0"/>
        <v>0</v>
      </c>
      <c r="J50" s="476"/>
      <c r="K50" s="488"/>
      <c r="L50" s="479">
        <f t="shared" si="1"/>
        <v>0</v>
      </c>
      <c r="M50" s="488"/>
      <c r="N50" s="479">
        <f t="shared" si="2"/>
        <v>0</v>
      </c>
      <c r="O50" s="479">
        <f t="shared" si="3"/>
        <v>0</v>
      </c>
      <c r="P50" s="243"/>
    </row>
    <row r="51" spans="2:16" ht="12.5">
      <c r="B51" s="160" t="str">
        <f t="shared" si="5"/>
        <v/>
      </c>
      <c r="C51" s="473">
        <f>IF(D11="","-",+C50+1)</f>
        <v>2051</v>
      </c>
      <c r="D51" s="484">
        <f>IF(F50+SUM(E$17:E50)=D$10,F50,D$10-SUM(E$17:E50))</f>
        <v>291585.57737734087</v>
      </c>
      <c r="E51" s="485">
        <f t="shared" si="7"/>
        <v>31139.023255813954</v>
      </c>
      <c r="F51" s="486">
        <f t="shared" si="8"/>
        <v>260446.55412152692</v>
      </c>
      <c r="G51" s="487">
        <f t="shared" si="9"/>
        <v>62896.42025294897</v>
      </c>
      <c r="H51" s="456">
        <f t="shared" si="10"/>
        <v>62896.42025294897</v>
      </c>
      <c r="I51" s="476">
        <f t="shared" si="0"/>
        <v>0</v>
      </c>
      <c r="J51" s="476"/>
      <c r="K51" s="488"/>
      <c r="L51" s="479">
        <f t="shared" si="1"/>
        <v>0</v>
      </c>
      <c r="M51" s="488"/>
      <c r="N51" s="479">
        <f t="shared" si="2"/>
        <v>0</v>
      </c>
      <c r="O51" s="479">
        <f t="shared" si="3"/>
        <v>0</v>
      </c>
      <c r="P51" s="243"/>
    </row>
    <row r="52" spans="2:16" ht="12.5">
      <c r="B52" s="160" t="str">
        <f t="shared" si="5"/>
        <v/>
      </c>
      <c r="C52" s="473">
        <f>IF(D11="","-",+C51+1)</f>
        <v>2052</v>
      </c>
      <c r="D52" s="484">
        <f>IF(F51+SUM(E$17:E51)=D$10,F51,D$10-SUM(E$17:E51))</f>
        <v>260446.55412152692</v>
      </c>
      <c r="E52" s="485">
        <f t="shared" si="7"/>
        <v>31139.023255813954</v>
      </c>
      <c r="F52" s="486">
        <f t="shared" si="8"/>
        <v>229307.53086571296</v>
      </c>
      <c r="G52" s="487">
        <f t="shared" si="9"/>
        <v>59313.678353658164</v>
      </c>
      <c r="H52" s="456">
        <f t="shared" si="10"/>
        <v>59313.678353658164</v>
      </c>
      <c r="I52" s="476">
        <f t="shared" si="0"/>
        <v>0</v>
      </c>
      <c r="J52" s="476"/>
      <c r="K52" s="488"/>
      <c r="L52" s="479">
        <f t="shared" si="1"/>
        <v>0</v>
      </c>
      <c r="M52" s="488"/>
      <c r="N52" s="479">
        <f t="shared" si="2"/>
        <v>0</v>
      </c>
      <c r="O52" s="479">
        <f t="shared" si="3"/>
        <v>0</v>
      </c>
      <c r="P52" s="243"/>
    </row>
    <row r="53" spans="2:16" ht="12.5">
      <c r="B53" s="160" t="str">
        <f t="shared" si="5"/>
        <v/>
      </c>
      <c r="C53" s="473">
        <f>IF(D11="","-",+C52+1)</f>
        <v>2053</v>
      </c>
      <c r="D53" s="484">
        <f>IF(F52+SUM(E$17:E52)=D$10,F52,D$10-SUM(E$17:E52))</f>
        <v>229307.53086571296</v>
      </c>
      <c r="E53" s="485">
        <f t="shared" si="7"/>
        <v>31139.023255813954</v>
      </c>
      <c r="F53" s="486">
        <f t="shared" si="8"/>
        <v>198168.50760989901</v>
      </c>
      <c r="G53" s="487">
        <f t="shared" si="9"/>
        <v>55730.936454367351</v>
      </c>
      <c r="H53" s="456">
        <f t="shared" si="10"/>
        <v>55730.936454367351</v>
      </c>
      <c r="I53" s="476">
        <f t="shared" si="0"/>
        <v>0</v>
      </c>
      <c r="J53" s="476"/>
      <c r="K53" s="488"/>
      <c r="L53" s="479">
        <f t="shared" si="1"/>
        <v>0</v>
      </c>
      <c r="M53" s="488"/>
      <c r="N53" s="479">
        <f t="shared" si="2"/>
        <v>0</v>
      </c>
      <c r="O53" s="479">
        <f t="shared" si="3"/>
        <v>0</v>
      </c>
      <c r="P53" s="243"/>
    </row>
    <row r="54" spans="2:16" ht="12.5">
      <c r="B54" s="160" t="str">
        <f t="shared" si="5"/>
        <v/>
      </c>
      <c r="C54" s="473">
        <f>IF(D11="","-",+C53+1)</f>
        <v>2054</v>
      </c>
      <c r="D54" s="484">
        <f>IF(F53+SUM(E$17:E53)=D$10,F53,D$10-SUM(E$17:E53))</f>
        <v>198168.50760989901</v>
      </c>
      <c r="E54" s="485">
        <f t="shared" si="7"/>
        <v>31139.023255813954</v>
      </c>
      <c r="F54" s="486">
        <f t="shared" si="8"/>
        <v>167029.48435408506</v>
      </c>
      <c r="G54" s="487">
        <f t="shared" si="9"/>
        <v>52148.194555076545</v>
      </c>
      <c r="H54" s="456">
        <f t="shared" si="10"/>
        <v>52148.194555076545</v>
      </c>
      <c r="I54" s="476">
        <f t="shared" si="0"/>
        <v>0</v>
      </c>
      <c r="J54" s="476"/>
      <c r="K54" s="488"/>
      <c r="L54" s="479">
        <f t="shared" si="1"/>
        <v>0</v>
      </c>
      <c r="M54" s="488"/>
      <c r="N54" s="479">
        <f t="shared" si="2"/>
        <v>0</v>
      </c>
      <c r="O54" s="479">
        <f t="shared" si="3"/>
        <v>0</v>
      </c>
      <c r="P54" s="243"/>
    </row>
    <row r="55" spans="2:16" ht="12.5">
      <c r="B55" s="160" t="str">
        <f t="shared" si="5"/>
        <v/>
      </c>
      <c r="C55" s="473">
        <f>IF(D11="","-",+C54+1)</f>
        <v>2055</v>
      </c>
      <c r="D55" s="484">
        <f>IF(F54+SUM(E$17:E54)=D$10,F54,D$10-SUM(E$17:E54))</f>
        <v>167029.48435408506</v>
      </c>
      <c r="E55" s="485">
        <f t="shared" si="7"/>
        <v>31139.023255813954</v>
      </c>
      <c r="F55" s="486">
        <f t="shared" si="8"/>
        <v>135890.4610982711</v>
      </c>
      <c r="G55" s="487">
        <f t="shared" si="9"/>
        <v>48565.452655785732</v>
      </c>
      <c r="H55" s="456">
        <f t="shared" si="10"/>
        <v>48565.452655785732</v>
      </c>
      <c r="I55" s="476">
        <f t="shared" si="0"/>
        <v>0</v>
      </c>
      <c r="J55" s="476"/>
      <c r="K55" s="488"/>
      <c r="L55" s="479">
        <f t="shared" si="1"/>
        <v>0</v>
      </c>
      <c r="M55" s="488"/>
      <c r="N55" s="479">
        <f t="shared" si="2"/>
        <v>0</v>
      </c>
      <c r="O55" s="479">
        <f t="shared" si="3"/>
        <v>0</v>
      </c>
      <c r="P55" s="243"/>
    </row>
    <row r="56" spans="2:16" ht="12.5">
      <c r="B56" s="160" t="str">
        <f t="shared" si="5"/>
        <v/>
      </c>
      <c r="C56" s="473">
        <f>IF(D11="","-",+C55+1)</f>
        <v>2056</v>
      </c>
      <c r="D56" s="484">
        <f>IF(F55+SUM(E$17:E55)=D$10,F55,D$10-SUM(E$17:E55))</f>
        <v>135890.4610982711</v>
      </c>
      <c r="E56" s="485">
        <f t="shared" si="7"/>
        <v>31139.023255813954</v>
      </c>
      <c r="F56" s="486">
        <f t="shared" si="8"/>
        <v>104751.43784245715</v>
      </c>
      <c r="G56" s="487">
        <f t="shared" si="9"/>
        <v>44982.710756494926</v>
      </c>
      <c r="H56" s="456">
        <f t="shared" si="10"/>
        <v>44982.710756494926</v>
      </c>
      <c r="I56" s="476">
        <f t="shared" si="0"/>
        <v>0</v>
      </c>
      <c r="J56" s="476"/>
      <c r="K56" s="488"/>
      <c r="L56" s="479">
        <f t="shared" si="1"/>
        <v>0</v>
      </c>
      <c r="M56" s="488"/>
      <c r="N56" s="479">
        <f t="shared" si="2"/>
        <v>0</v>
      </c>
      <c r="O56" s="479">
        <f t="shared" si="3"/>
        <v>0</v>
      </c>
      <c r="P56" s="243"/>
    </row>
    <row r="57" spans="2:16" ht="12.5">
      <c r="B57" s="160" t="str">
        <f t="shared" si="5"/>
        <v/>
      </c>
      <c r="C57" s="473">
        <f>IF(D11="","-",+C56+1)</f>
        <v>2057</v>
      </c>
      <c r="D57" s="484">
        <f>IF(F56+SUM(E$17:E56)=D$10,F56,D$10-SUM(E$17:E56))</f>
        <v>104751.43784245715</v>
      </c>
      <c r="E57" s="485">
        <f t="shared" si="7"/>
        <v>31139.023255813954</v>
      </c>
      <c r="F57" s="486">
        <f t="shared" si="8"/>
        <v>73612.414586643194</v>
      </c>
      <c r="G57" s="487">
        <f t="shared" si="9"/>
        <v>41399.96885720412</v>
      </c>
      <c r="H57" s="456">
        <f t="shared" si="10"/>
        <v>41399.96885720412</v>
      </c>
      <c r="I57" s="476">
        <f t="shared" si="0"/>
        <v>0</v>
      </c>
      <c r="J57" s="476"/>
      <c r="K57" s="488"/>
      <c r="L57" s="479">
        <f t="shared" si="1"/>
        <v>0</v>
      </c>
      <c r="M57" s="488"/>
      <c r="N57" s="479">
        <f t="shared" si="2"/>
        <v>0</v>
      </c>
      <c r="O57" s="479">
        <f t="shared" si="3"/>
        <v>0</v>
      </c>
      <c r="P57" s="243"/>
    </row>
    <row r="58" spans="2:16" ht="12.5">
      <c r="B58" s="160" t="str">
        <f t="shared" si="5"/>
        <v/>
      </c>
      <c r="C58" s="473">
        <f>IF(D11="","-",+C57+1)</f>
        <v>2058</v>
      </c>
      <c r="D58" s="484">
        <f>IF(F57+SUM(E$17:E57)=D$10,F57,D$10-SUM(E$17:E57))</f>
        <v>73612.414586643194</v>
      </c>
      <c r="E58" s="485">
        <f t="shared" si="7"/>
        <v>31139.023255813954</v>
      </c>
      <c r="F58" s="486">
        <f t="shared" si="8"/>
        <v>42473.391330829239</v>
      </c>
      <c r="G58" s="487">
        <f t="shared" si="9"/>
        <v>37817.226957913314</v>
      </c>
      <c r="H58" s="456">
        <f t="shared" si="10"/>
        <v>37817.226957913314</v>
      </c>
      <c r="I58" s="476">
        <f t="shared" si="0"/>
        <v>0</v>
      </c>
      <c r="J58" s="476"/>
      <c r="K58" s="488"/>
      <c r="L58" s="479">
        <f t="shared" si="1"/>
        <v>0</v>
      </c>
      <c r="M58" s="488"/>
      <c r="N58" s="479">
        <f t="shared" si="2"/>
        <v>0</v>
      </c>
      <c r="O58" s="479">
        <f t="shared" si="3"/>
        <v>0</v>
      </c>
      <c r="P58" s="243"/>
    </row>
    <row r="59" spans="2:16" ht="12.5">
      <c r="B59" s="160" t="str">
        <f t="shared" si="5"/>
        <v/>
      </c>
      <c r="C59" s="473">
        <f>IF(D11="","-",+C58+1)</f>
        <v>2059</v>
      </c>
      <c r="D59" s="484">
        <f>IF(F58+SUM(E$17:E58)=D$10,F58,D$10-SUM(E$17:E58))</f>
        <v>42473.391330829239</v>
      </c>
      <c r="E59" s="485">
        <f t="shared" si="7"/>
        <v>31139.023255813954</v>
      </c>
      <c r="F59" s="486">
        <f t="shared" si="8"/>
        <v>11334.368075015285</v>
      </c>
      <c r="G59" s="487">
        <f t="shared" si="9"/>
        <v>34234.4850586225</v>
      </c>
      <c r="H59" s="456">
        <f t="shared" si="10"/>
        <v>34234.4850586225</v>
      </c>
      <c r="I59" s="476">
        <f t="shared" si="0"/>
        <v>0</v>
      </c>
      <c r="J59" s="476"/>
      <c r="K59" s="488"/>
      <c r="L59" s="479">
        <f t="shared" si="1"/>
        <v>0</v>
      </c>
      <c r="M59" s="488"/>
      <c r="N59" s="479">
        <f t="shared" si="2"/>
        <v>0</v>
      </c>
      <c r="O59" s="479">
        <f t="shared" si="3"/>
        <v>0</v>
      </c>
      <c r="P59" s="243"/>
    </row>
    <row r="60" spans="2:16" ht="12.5">
      <c r="B60" s="160" t="str">
        <f t="shared" si="5"/>
        <v/>
      </c>
      <c r="C60" s="473">
        <f>IF(D11="","-",+C59+1)</f>
        <v>2060</v>
      </c>
      <c r="D60" s="484">
        <f>IF(F59+SUM(E$17:E59)=D$10,F59,D$10-SUM(E$17:E59))</f>
        <v>11334.368075015285</v>
      </c>
      <c r="E60" s="485">
        <f t="shared" si="7"/>
        <v>11334.368075015285</v>
      </c>
      <c r="F60" s="486">
        <f t="shared" si="8"/>
        <v>0</v>
      </c>
      <c r="G60" s="487">
        <f t="shared" si="9"/>
        <v>11986.413501596857</v>
      </c>
      <c r="H60" s="456">
        <f t="shared" si="10"/>
        <v>11986.413501596857</v>
      </c>
      <c r="I60" s="476">
        <f t="shared" si="0"/>
        <v>0</v>
      </c>
      <c r="J60" s="476"/>
      <c r="K60" s="488"/>
      <c r="L60" s="479">
        <f t="shared" si="1"/>
        <v>0</v>
      </c>
      <c r="M60" s="488"/>
      <c r="N60" s="479">
        <f t="shared" si="2"/>
        <v>0</v>
      </c>
      <c r="O60" s="479">
        <f t="shared" si="3"/>
        <v>0</v>
      </c>
      <c r="P60" s="243"/>
    </row>
    <row r="61" spans="2:16" ht="12.5">
      <c r="B61" s="160" t="str">
        <f t="shared" si="5"/>
        <v/>
      </c>
      <c r="C61" s="473">
        <f>IF(D11="","-",+C60+1)</f>
        <v>2061</v>
      </c>
      <c r="D61" s="484">
        <f>IF(F60+SUM(E$17:E60)=D$10,F60,D$10-SUM(E$17:E60))</f>
        <v>0</v>
      </c>
      <c r="E61" s="485">
        <f t="shared" si="7"/>
        <v>0</v>
      </c>
      <c r="F61" s="486">
        <f t="shared" si="8"/>
        <v>0</v>
      </c>
      <c r="G61" s="487">
        <f t="shared" si="9"/>
        <v>0</v>
      </c>
      <c r="H61" s="456">
        <f t="shared" si="10"/>
        <v>0</v>
      </c>
      <c r="I61" s="476">
        <f t="shared" si="0"/>
        <v>0</v>
      </c>
      <c r="J61" s="476"/>
      <c r="K61" s="488"/>
      <c r="L61" s="479">
        <f t="shared" si="1"/>
        <v>0</v>
      </c>
      <c r="M61" s="488"/>
      <c r="N61" s="479">
        <f t="shared" si="2"/>
        <v>0</v>
      </c>
      <c r="O61" s="479">
        <f t="shared" si="3"/>
        <v>0</v>
      </c>
      <c r="P61" s="243"/>
    </row>
    <row r="62" spans="2:16" ht="12.5">
      <c r="B62" s="160" t="str">
        <f t="shared" si="5"/>
        <v/>
      </c>
      <c r="C62" s="473">
        <f>IF(D11="","-",+C61+1)</f>
        <v>2062</v>
      </c>
      <c r="D62" s="484">
        <f>IF(F61+SUM(E$17:E61)=D$10,F61,D$10-SUM(E$17:E61))</f>
        <v>0</v>
      </c>
      <c r="E62" s="485">
        <f t="shared" si="7"/>
        <v>0</v>
      </c>
      <c r="F62" s="486">
        <f t="shared" si="8"/>
        <v>0</v>
      </c>
      <c r="G62" s="487">
        <f t="shared" si="9"/>
        <v>0</v>
      </c>
      <c r="H62" s="456">
        <f t="shared" si="10"/>
        <v>0</v>
      </c>
      <c r="I62" s="476">
        <f t="shared" si="0"/>
        <v>0</v>
      </c>
      <c r="J62" s="476"/>
      <c r="K62" s="488"/>
      <c r="L62" s="479">
        <f t="shared" si="1"/>
        <v>0</v>
      </c>
      <c r="M62" s="488"/>
      <c r="N62" s="479">
        <f t="shared" si="2"/>
        <v>0</v>
      </c>
      <c r="O62" s="479">
        <f t="shared" si="3"/>
        <v>0</v>
      </c>
      <c r="P62" s="243"/>
    </row>
    <row r="63" spans="2:16" ht="12.5">
      <c r="B63" s="160" t="str">
        <f t="shared" si="5"/>
        <v/>
      </c>
      <c r="C63" s="473">
        <f>IF(D11="","-",+C62+1)</f>
        <v>2063</v>
      </c>
      <c r="D63" s="484">
        <f>IF(F62+SUM(E$17:E62)=D$10,F62,D$10-SUM(E$17:E62))</f>
        <v>0</v>
      </c>
      <c r="E63" s="485">
        <f t="shared" si="7"/>
        <v>0</v>
      </c>
      <c r="F63" s="486">
        <f t="shared" si="8"/>
        <v>0</v>
      </c>
      <c r="G63" s="487">
        <f t="shared" si="9"/>
        <v>0</v>
      </c>
      <c r="H63" s="456">
        <f t="shared" si="10"/>
        <v>0</v>
      </c>
      <c r="I63" s="476">
        <f t="shared" si="0"/>
        <v>0</v>
      </c>
      <c r="J63" s="476"/>
      <c r="K63" s="488"/>
      <c r="L63" s="479">
        <f t="shared" si="1"/>
        <v>0</v>
      </c>
      <c r="M63" s="488"/>
      <c r="N63" s="479">
        <f t="shared" si="2"/>
        <v>0</v>
      </c>
      <c r="O63" s="479">
        <f t="shared" si="3"/>
        <v>0</v>
      </c>
      <c r="P63" s="243"/>
    </row>
    <row r="64" spans="2:16" ht="12.5">
      <c r="B64" s="160" t="str">
        <f t="shared" si="5"/>
        <v/>
      </c>
      <c r="C64" s="473">
        <f>IF(D11="","-",+C63+1)</f>
        <v>2064</v>
      </c>
      <c r="D64" s="484">
        <f>IF(F63+SUM(E$17:E63)=D$10,F63,D$10-SUM(E$17:E63))</f>
        <v>0</v>
      </c>
      <c r="E64" s="485">
        <f t="shared" si="7"/>
        <v>0</v>
      </c>
      <c r="F64" s="486">
        <f t="shared" si="8"/>
        <v>0</v>
      </c>
      <c r="G64" s="487">
        <f t="shared" si="9"/>
        <v>0</v>
      </c>
      <c r="H64" s="456">
        <f t="shared" si="10"/>
        <v>0</v>
      </c>
      <c r="I64" s="476">
        <f t="shared" si="0"/>
        <v>0</v>
      </c>
      <c r="J64" s="476"/>
      <c r="K64" s="488"/>
      <c r="L64" s="479">
        <f t="shared" si="1"/>
        <v>0</v>
      </c>
      <c r="M64" s="488"/>
      <c r="N64" s="479">
        <f t="shared" si="2"/>
        <v>0</v>
      </c>
      <c r="O64" s="479">
        <f t="shared" si="3"/>
        <v>0</v>
      </c>
      <c r="P64" s="243"/>
    </row>
    <row r="65" spans="2:16" ht="12.5">
      <c r="B65" s="160" t="str">
        <f t="shared" si="5"/>
        <v/>
      </c>
      <c r="C65" s="473">
        <f>IF(D11="","-",+C64+1)</f>
        <v>2065</v>
      </c>
      <c r="D65" s="484">
        <f>IF(F64+SUM(E$17:E64)=D$10,F64,D$10-SUM(E$17:E64))</f>
        <v>0</v>
      </c>
      <c r="E65" s="485">
        <f t="shared" si="7"/>
        <v>0</v>
      </c>
      <c r="F65" s="486">
        <f t="shared" si="8"/>
        <v>0</v>
      </c>
      <c r="G65" s="487">
        <f t="shared" si="9"/>
        <v>0</v>
      </c>
      <c r="H65" s="456">
        <f t="shared" si="10"/>
        <v>0</v>
      </c>
      <c r="I65" s="476">
        <f t="shared" si="0"/>
        <v>0</v>
      </c>
      <c r="J65" s="476"/>
      <c r="K65" s="488"/>
      <c r="L65" s="479">
        <f t="shared" si="1"/>
        <v>0</v>
      </c>
      <c r="M65" s="488"/>
      <c r="N65" s="479">
        <f t="shared" si="2"/>
        <v>0</v>
      </c>
      <c r="O65" s="479">
        <f t="shared" si="3"/>
        <v>0</v>
      </c>
      <c r="P65" s="243"/>
    </row>
    <row r="66" spans="2:16" ht="12.5">
      <c r="B66" s="160" t="str">
        <f t="shared" si="5"/>
        <v/>
      </c>
      <c r="C66" s="473">
        <f>IF(D11="","-",+C65+1)</f>
        <v>2066</v>
      </c>
      <c r="D66" s="484">
        <f>IF(F65+SUM(E$17:E65)=D$10,F65,D$10-SUM(E$17:E65))</f>
        <v>0</v>
      </c>
      <c r="E66" s="485">
        <f t="shared" si="7"/>
        <v>0</v>
      </c>
      <c r="F66" s="486">
        <f t="shared" si="8"/>
        <v>0</v>
      </c>
      <c r="G66" s="487">
        <f t="shared" si="9"/>
        <v>0</v>
      </c>
      <c r="H66" s="456">
        <f t="shared" si="10"/>
        <v>0</v>
      </c>
      <c r="I66" s="476">
        <f t="shared" si="0"/>
        <v>0</v>
      </c>
      <c r="J66" s="476"/>
      <c r="K66" s="488"/>
      <c r="L66" s="479">
        <f t="shared" si="1"/>
        <v>0</v>
      </c>
      <c r="M66" s="488"/>
      <c r="N66" s="479">
        <f t="shared" si="2"/>
        <v>0</v>
      </c>
      <c r="O66" s="479">
        <f t="shared" si="3"/>
        <v>0</v>
      </c>
      <c r="P66" s="243"/>
    </row>
    <row r="67" spans="2:16" ht="12.5">
      <c r="B67" s="160" t="str">
        <f t="shared" si="5"/>
        <v/>
      </c>
      <c r="C67" s="473">
        <f>IF(D11="","-",+C66+1)</f>
        <v>2067</v>
      </c>
      <c r="D67" s="484">
        <f>IF(F66+SUM(E$17:E66)=D$10,F66,D$10-SUM(E$17:E66))</f>
        <v>0</v>
      </c>
      <c r="E67" s="485">
        <f t="shared" si="7"/>
        <v>0</v>
      </c>
      <c r="F67" s="486">
        <f t="shared" si="8"/>
        <v>0</v>
      </c>
      <c r="G67" s="487">
        <f t="shared" si="9"/>
        <v>0</v>
      </c>
      <c r="H67" s="456">
        <f t="shared" si="10"/>
        <v>0</v>
      </c>
      <c r="I67" s="476">
        <f t="shared" si="0"/>
        <v>0</v>
      </c>
      <c r="J67" s="476"/>
      <c r="K67" s="488"/>
      <c r="L67" s="479">
        <f t="shared" si="1"/>
        <v>0</v>
      </c>
      <c r="M67" s="488"/>
      <c r="N67" s="479">
        <f t="shared" si="2"/>
        <v>0</v>
      </c>
      <c r="O67" s="479">
        <f t="shared" si="3"/>
        <v>0</v>
      </c>
      <c r="P67" s="243"/>
    </row>
    <row r="68" spans="2:16" ht="12.5">
      <c r="B68" s="160" t="str">
        <f t="shared" si="5"/>
        <v/>
      </c>
      <c r="C68" s="473">
        <f>IF(D11="","-",+C67+1)</f>
        <v>2068</v>
      </c>
      <c r="D68" s="484">
        <f>IF(F67+SUM(E$17:E67)=D$10,F67,D$10-SUM(E$17:E67))</f>
        <v>0</v>
      </c>
      <c r="E68" s="485">
        <f t="shared" si="7"/>
        <v>0</v>
      </c>
      <c r="F68" s="486">
        <f t="shared" si="8"/>
        <v>0</v>
      </c>
      <c r="G68" s="487">
        <f t="shared" si="9"/>
        <v>0</v>
      </c>
      <c r="H68" s="456">
        <f t="shared" si="10"/>
        <v>0</v>
      </c>
      <c r="I68" s="476">
        <f t="shared" si="0"/>
        <v>0</v>
      </c>
      <c r="J68" s="476"/>
      <c r="K68" s="488"/>
      <c r="L68" s="479">
        <f t="shared" si="1"/>
        <v>0</v>
      </c>
      <c r="M68" s="488"/>
      <c r="N68" s="479">
        <f t="shared" si="2"/>
        <v>0</v>
      </c>
      <c r="O68" s="479">
        <f t="shared" si="3"/>
        <v>0</v>
      </c>
      <c r="P68" s="243"/>
    </row>
    <row r="69" spans="2:16" ht="12.5">
      <c r="B69" s="160" t="str">
        <f t="shared" si="5"/>
        <v/>
      </c>
      <c r="C69" s="473">
        <f>IF(D11="","-",+C68+1)</f>
        <v>2069</v>
      </c>
      <c r="D69" s="484">
        <f>IF(F68+SUM(E$17:E68)=D$10,F68,D$10-SUM(E$17:E68))</f>
        <v>0</v>
      </c>
      <c r="E69" s="485">
        <f t="shared" si="7"/>
        <v>0</v>
      </c>
      <c r="F69" s="486">
        <f t="shared" si="8"/>
        <v>0</v>
      </c>
      <c r="G69" s="487">
        <f t="shared" si="9"/>
        <v>0</v>
      </c>
      <c r="H69" s="456">
        <f t="shared" si="10"/>
        <v>0</v>
      </c>
      <c r="I69" s="476">
        <f t="shared" si="0"/>
        <v>0</v>
      </c>
      <c r="J69" s="476"/>
      <c r="K69" s="488"/>
      <c r="L69" s="479">
        <f t="shared" si="1"/>
        <v>0</v>
      </c>
      <c r="M69" s="488"/>
      <c r="N69" s="479">
        <f t="shared" si="2"/>
        <v>0</v>
      </c>
      <c r="O69" s="479">
        <f t="shared" si="3"/>
        <v>0</v>
      </c>
      <c r="P69" s="243"/>
    </row>
    <row r="70" spans="2:16" ht="12.5">
      <c r="B70" s="160" t="str">
        <f t="shared" si="5"/>
        <v/>
      </c>
      <c r="C70" s="473">
        <f>IF(D11="","-",+C69+1)</f>
        <v>2070</v>
      </c>
      <c r="D70" s="484">
        <f>IF(F69+SUM(E$17:E69)=D$10,F69,D$10-SUM(E$17:E69))</f>
        <v>0</v>
      </c>
      <c r="E70" s="485">
        <f t="shared" si="7"/>
        <v>0</v>
      </c>
      <c r="F70" s="486">
        <f t="shared" si="8"/>
        <v>0</v>
      </c>
      <c r="G70" s="487">
        <f t="shared" si="9"/>
        <v>0</v>
      </c>
      <c r="H70" s="456">
        <f t="shared" si="10"/>
        <v>0</v>
      </c>
      <c r="I70" s="476">
        <f t="shared" si="0"/>
        <v>0</v>
      </c>
      <c r="J70" s="476"/>
      <c r="K70" s="488"/>
      <c r="L70" s="479">
        <f t="shared" si="1"/>
        <v>0</v>
      </c>
      <c r="M70" s="488"/>
      <c r="N70" s="479">
        <f t="shared" si="2"/>
        <v>0</v>
      </c>
      <c r="O70" s="479">
        <f t="shared" si="3"/>
        <v>0</v>
      </c>
      <c r="P70" s="243"/>
    </row>
    <row r="71" spans="2:16" ht="12.5">
      <c r="B71" s="160" t="str">
        <f t="shared" si="5"/>
        <v/>
      </c>
      <c r="C71" s="473">
        <f>IF(D11="","-",+C70+1)</f>
        <v>2071</v>
      </c>
      <c r="D71" s="484">
        <f>IF(F70+SUM(E$17:E70)=D$10,F70,D$10-SUM(E$17:E70))</f>
        <v>0</v>
      </c>
      <c r="E71" s="485">
        <f t="shared" si="7"/>
        <v>0</v>
      </c>
      <c r="F71" s="486">
        <f t="shared" si="8"/>
        <v>0</v>
      </c>
      <c r="G71" s="487">
        <f t="shared" si="9"/>
        <v>0</v>
      </c>
      <c r="H71" s="456">
        <f t="shared" si="10"/>
        <v>0</v>
      </c>
      <c r="I71" s="476">
        <f t="shared" si="0"/>
        <v>0</v>
      </c>
      <c r="J71" s="476"/>
      <c r="K71" s="488"/>
      <c r="L71" s="479">
        <f t="shared" si="1"/>
        <v>0</v>
      </c>
      <c r="M71" s="488"/>
      <c r="N71" s="479">
        <f t="shared" si="2"/>
        <v>0</v>
      </c>
      <c r="O71" s="479">
        <f t="shared" si="3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2072</v>
      </c>
      <c r="D72" s="613">
        <f>IF(F71+SUM(E$17:E71)=D$10,F71,D$10-SUM(E$17:E71))</f>
        <v>0</v>
      </c>
      <c r="E72" s="492">
        <f t="shared" si="7"/>
        <v>0</v>
      </c>
      <c r="F72" s="491">
        <f t="shared" si="8"/>
        <v>0</v>
      </c>
      <c r="G72" s="545">
        <f t="shared" si="9"/>
        <v>0</v>
      </c>
      <c r="H72" s="436">
        <f t="shared" si="10"/>
        <v>0</v>
      </c>
      <c r="I72" s="494">
        <f t="shared" si="0"/>
        <v>0</v>
      </c>
      <c r="J72" s="476"/>
      <c r="K72" s="495"/>
      <c r="L72" s="496">
        <f t="shared" si="1"/>
        <v>0</v>
      </c>
      <c r="M72" s="495"/>
      <c r="N72" s="496">
        <f t="shared" si="2"/>
        <v>0</v>
      </c>
      <c r="O72" s="496">
        <f t="shared" si="3"/>
        <v>0</v>
      </c>
      <c r="P72" s="243"/>
    </row>
    <row r="73" spans="2:16" ht="12.5">
      <c r="C73" s="347" t="s">
        <v>77</v>
      </c>
      <c r="D73" s="348"/>
      <c r="E73" s="348">
        <f>SUM(E17:E72)</f>
        <v>1338977.9999999995</v>
      </c>
      <c r="F73" s="348"/>
      <c r="G73" s="348">
        <f>SUM(G17:G72)</f>
        <v>4681543.8263077941</v>
      </c>
      <c r="H73" s="348">
        <f>SUM(H17:H72)</f>
        <v>4681543.8263077941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19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165989.58089219453</v>
      </c>
      <c r="N87" s="509">
        <f>IF(J92&lt;D11,0,VLOOKUP(J92,C17:O72,11))</f>
        <v>165989.58089219453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173851.68865310939</v>
      </c>
      <c r="N88" s="513">
        <f>IF(J92&lt;D11,0,VLOOKUP(J92,C99:P154,7))</f>
        <v>173851.68865310939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Valliant-NW Texarkana 345 kV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7862.1077609148633</v>
      </c>
      <c r="N89" s="518">
        <f>+N88-N87</f>
        <v>7862.1077609148633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TP2009089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f>IF(D11=I10,0,D10)</f>
        <v>1338978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2017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3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31139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2017</v>
      </c>
      <c r="D99" s="585">
        <v>0</v>
      </c>
      <c r="E99" s="609">
        <v>21831</v>
      </c>
      <c r="F99" s="585">
        <v>1317147</v>
      </c>
      <c r="G99" s="609">
        <v>658573.5</v>
      </c>
      <c r="H99" s="588">
        <v>105372.70906867021</v>
      </c>
      <c r="I99" s="608">
        <v>105372.70906867021</v>
      </c>
      <c r="J99" s="479">
        <f t="shared" ref="J99:J130" si="11">+I99-H99</f>
        <v>0</v>
      </c>
      <c r="K99" s="479"/>
      <c r="L99" s="478">
        <f>+H99</f>
        <v>105372.70906867021</v>
      </c>
      <c r="M99" s="478">
        <f t="shared" ref="M99:M130" si="12">IF(L99&lt;&gt;0,+H99-L99,0)</f>
        <v>0</v>
      </c>
      <c r="N99" s="478">
        <f>+I99</f>
        <v>105372.70906867021</v>
      </c>
      <c r="O99" s="478">
        <f t="shared" ref="O99:O130" si="13">IF(N99&lt;&gt;0,+I99-N99,0)</f>
        <v>0</v>
      </c>
      <c r="P99" s="478">
        <f t="shared" ref="P99:P130" si="14">+O99-M99</f>
        <v>0</v>
      </c>
    </row>
    <row r="100" spans="1:16" ht="12.5">
      <c r="B100" s="160" t="str">
        <f>IF(D100=F99,"","IU")</f>
        <v/>
      </c>
      <c r="C100" s="473">
        <f>IF(D93="","-",+C99+1)</f>
        <v>2018</v>
      </c>
      <c r="D100" s="585">
        <v>1317147</v>
      </c>
      <c r="E100" s="586">
        <v>31139</v>
      </c>
      <c r="F100" s="587">
        <v>1286008</v>
      </c>
      <c r="G100" s="587">
        <v>1301577.5</v>
      </c>
      <c r="H100" s="607">
        <v>164857.30223166285</v>
      </c>
      <c r="I100" s="608">
        <v>164857.30223166285</v>
      </c>
      <c r="J100" s="479">
        <f t="shared" si="11"/>
        <v>0</v>
      </c>
      <c r="K100" s="479"/>
      <c r="L100" s="477">
        <f>H100</f>
        <v>164857.30223166285</v>
      </c>
      <c r="M100" s="349">
        <f>IF(L100&lt;&gt;0,+H100-L100,0)</f>
        <v>0</v>
      </c>
      <c r="N100" s="477">
        <f>I100</f>
        <v>164857.30223166285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5">IF(D101=F100,"","IU")</f>
        <v/>
      </c>
      <c r="C101" s="473">
        <f>IF(D93="","-",+C100+1)</f>
        <v>2019</v>
      </c>
      <c r="D101" s="585">
        <v>1286008</v>
      </c>
      <c r="E101" s="586">
        <v>32658</v>
      </c>
      <c r="F101" s="587">
        <v>1253350</v>
      </c>
      <c r="G101" s="587">
        <v>1269679</v>
      </c>
      <c r="H101" s="607">
        <v>163579.71352002863</v>
      </c>
      <c r="I101" s="608">
        <v>163579.71352002863</v>
      </c>
      <c r="J101" s="479">
        <f t="shared" si="11"/>
        <v>0</v>
      </c>
      <c r="K101" s="479"/>
      <c r="L101" s="477">
        <f>H101</f>
        <v>163579.71352002863</v>
      </c>
      <c r="M101" s="349">
        <f>IF(L101&lt;&gt;0,+H101-L101,0)</f>
        <v>0</v>
      </c>
      <c r="N101" s="477">
        <f>I101</f>
        <v>163579.71352002863</v>
      </c>
      <c r="O101" s="479">
        <f t="shared" si="13"/>
        <v>0</v>
      </c>
      <c r="P101" s="479">
        <f t="shared" si="14"/>
        <v>0</v>
      </c>
    </row>
    <row r="102" spans="1:16" ht="12.5">
      <c r="B102" s="160" t="str">
        <f t="shared" si="15"/>
        <v/>
      </c>
      <c r="C102" s="473">
        <f>IF(D93="","-",+C101+1)</f>
        <v>2020</v>
      </c>
      <c r="D102" s="347">
        <f>IF(F101+SUM(E$99:E101)=D$92,F101,D$92-SUM(E$99:E101))</f>
        <v>1253350</v>
      </c>
      <c r="E102" s="485">
        <f t="shared" ref="E102:E154" si="16">IF(+J$96&lt;F101,J$96,D102)</f>
        <v>31139</v>
      </c>
      <c r="F102" s="486">
        <f t="shared" ref="F102:F154" si="17">+D102-E102</f>
        <v>1222211</v>
      </c>
      <c r="G102" s="486">
        <f t="shared" ref="G102:G154" si="18">+(F102+D102)/2</f>
        <v>1237780.5</v>
      </c>
      <c r="H102" s="487">
        <f>(D102+F102)/2*J$94+E102</f>
        <v>173851.68865310939</v>
      </c>
      <c r="I102" s="543">
        <f t="shared" ref="I102:I154" si="19">+J$95*G102+E102</f>
        <v>173851.68865310939</v>
      </c>
      <c r="J102" s="479">
        <f t="shared" si="11"/>
        <v>0</v>
      </c>
      <c r="K102" s="479"/>
      <c r="L102" s="488"/>
      <c r="M102" s="479">
        <f t="shared" si="12"/>
        <v>0</v>
      </c>
      <c r="N102" s="488"/>
      <c r="O102" s="479">
        <f t="shared" si="13"/>
        <v>0</v>
      </c>
      <c r="P102" s="479">
        <f t="shared" si="14"/>
        <v>0</v>
      </c>
    </row>
    <row r="103" spans="1:16" ht="12.5">
      <c r="B103" s="160" t="str">
        <f t="shared" si="15"/>
        <v/>
      </c>
      <c r="C103" s="473">
        <f>IF(D93="","-",+C102+1)</f>
        <v>2021</v>
      </c>
      <c r="D103" s="347">
        <f>IF(F102+SUM(E$99:E102)=D$92,F102,D$92-SUM(E$99:E102))</f>
        <v>1222211</v>
      </c>
      <c r="E103" s="485">
        <f t="shared" si="16"/>
        <v>31139</v>
      </c>
      <c r="F103" s="486">
        <f t="shared" si="17"/>
        <v>1191072</v>
      </c>
      <c r="G103" s="486">
        <f t="shared" si="18"/>
        <v>1206641.5</v>
      </c>
      <c r="H103" s="487">
        <f t="shared" ref="H103:H153" si="20">(D103+F103)/2*J$94+E103</f>
        <v>170261.44756273096</v>
      </c>
      <c r="I103" s="543">
        <f t="shared" ref="I103:I153" si="21">+J$95*G103+E103</f>
        <v>170261.44756273096</v>
      </c>
      <c r="J103" s="479">
        <f t="shared" si="11"/>
        <v>0</v>
      </c>
      <c r="K103" s="479"/>
      <c r="L103" s="488"/>
      <c r="M103" s="479">
        <f t="shared" si="12"/>
        <v>0</v>
      </c>
      <c r="N103" s="488"/>
      <c r="O103" s="479">
        <f t="shared" si="13"/>
        <v>0</v>
      </c>
      <c r="P103" s="479">
        <f t="shared" si="14"/>
        <v>0</v>
      </c>
    </row>
    <row r="104" spans="1:16" ht="12.5">
      <c r="B104" s="160" t="str">
        <f t="shared" si="15"/>
        <v/>
      </c>
      <c r="C104" s="473">
        <f>IF(D93="","-",+C103+1)</f>
        <v>2022</v>
      </c>
      <c r="D104" s="347">
        <f>IF(F103+SUM(E$99:E103)=D$92,F103,D$92-SUM(E$99:E103))</f>
        <v>1191072</v>
      </c>
      <c r="E104" s="485">
        <f t="shared" si="16"/>
        <v>31139</v>
      </c>
      <c r="F104" s="486">
        <f t="shared" si="17"/>
        <v>1159933</v>
      </c>
      <c r="G104" s="486">
        <f t="shared" si="18"/>
        <v>1175502.5</v>
      </c>
      <c r="H104" s="487">
        <f t="shared" si="20"/>
        <v>166671.20647235253</v>
      </c>
      <c r="I104" s="543">
        <f t="shared" si="21"/>
        <v>166671.20647235253</v>
      </c>
      <c r="J104" s="479">
        <f t="shared" si="11"/>
        <v>0</v>
      </c>
      <c r="K104" s="479"/>
      <c r="L104" s="488"/>
      <c r="M104" s="479">
        <f t="shared" si="12"/>
        <v>0</v>
      </c>
      <c r="N104" s="488"/>
      <c r="O104" s="479">
        <f t="shared" si="13"/>
        <v>0</v>
      </c>
      <c r="P104" s="479">
        <f t="shared" si="14"/>
        <v>0</v>
      </c>
    </row>
    <row r="105" spans="1:16" ht="12.5">
      <c r="B105" s="160" t="str">
        <f t="shared" si="15"/>
        <v/>
      </c>
      <c r="C105" s="473">
        <f>IF(D93="","-",+C104+1)</f>
        <v>2023</v>
      </c>
      <c r="D105" s="347">
        <f>IF(F104+SUM(E$99:E104)=D$92,F104,D$92-SUM(E$99:E104))</f>
        <v>1159933</v>
      </c>
      <c r="E105" s="485">
        <f t="shared" si="16"/>
        <v>31139</v>
      </c>
      <c r="F105" s="486">
        <f t="shared" si="17"/>
        <v>1128794</v>
      </c>
      <c r="G105" s="486">
        <f t="shared" si="18"/>
        <v>1144363.5</v>
      </c>
      <c r="H105" s="487">
        <f t="shared" si="20"/>
        <v>163080.96538197406</v>
      </c>
      <c r="I105" s="543">
        <f t="shared" si="21"/>
        <v>163080.96538197406</v>
      </c>
      <c r="J105" s="479">
        <f t="shared" si="11"/>
        <v>0</v>
      </c>
      <c r="K105" s="479"/>
      <c r="L105" s="488"/>
      <c r="M105" s="479">
        <f t="shared" si="12"/>
        <v>0</v>
      </c>
      <c r="N105" s="488"/>
      <c r="O105" s="479">
        <f t="shared" si="13"/>
        <v>0</v>
      </c>
      <c r="P105" s="479">
        <f t="shared" si="14"/>
        <v>0</v>
      </c>
    </row>
    <row r="106" spans="1:16" ht="12.5">
      <c r="B106" s="160" t="str">
        <f t="shared" si="15"/>
        <v/>
      </c>
      <c r="C106" s="473">
        <f>IF(D93="","-",+C105+1)</f>
        <v>2024</v>
      </c>
      <c r="D106" s="347">
        <f>IF(F105+SUM(E$99:E105)=D$92,F105,D$92-SUM(E$99:E105))</f>
        <v>1128794</v>
      </c>
      <c r="E106" s="485">
        <f t="shared" si="16"/>
        <v>31139</v>
      </c>
      <c r="F106" s="486">
        <f t="shared" si="17"/>
        <v>1097655</v>
      </c>
      <c r="G106" s="486">
        <f t="shared" si="18"/>
        <v>1113224.5</v>
      </c>
      <c r="H106" s="487">
        <f t="shared" si="20"/>
        <v>159490.72429159563</v>
      </c>
      <c r="I106" s="543">
        <f t="shared" si="21"/>
        <v>159490.72429159563</v>
      </c>
      <c r="J106" s="479">
        <f t="shared" si="11"/>
        <v>0</v>
      </c>
      <c r="K106" s="479"/>
      <c r="L106" s="488"/>
      <c r="M106" s="479">
        <f t="shared" si="12"/>
        <v>0</v>
      </c>
      <c r="N106" s="488"/>
      <c r="O106" s="479">
        <f t="shared" si="13"/>
        <v>0</v>
      </c>
      <c r="P106" s="479">
        <f t="shared" si="14"/>
        <v>0</v>
      </c>
    </row>
    <row r="107" spans="1:16" ht="12.5">
      <c r="B107" s="160" t="str">
        <f t="shared" si="15"/>
        <v/>
      </c>
      <c r="C107" s="473">
        <f>IF(D93="","-",+C106+1)</f>
        <v>2025</v>
      </c>
      <c r="D107" s="347">
        <f>IF(F106+SUM(E$99:E106)=D$92,F106,D$92-SUM(E$99:E106))</f>
        <v>1097655</v>
      </c>
      <c r="E107" s="485">
        <f t="shared" si="16"/>
        <v>31139</v>
      </c>
      <c r="F107" s="486">
        <f t="shared" si="17"/>
        <v>1066516</v>
      </c>
      <c r="G107" s="486">
        <f t="shared" si="18"/>
        <v>1082085.5</v>
      </c>
      <c r="H107" s="487">
        <f t="shared" si="20"/>
        <v>155900.4832012172</v>
      </c>
      <c r="I107" s="543">
        <f t="shared" si="21"/>
        <v>155900.4832012172</v>
      </c>
      <c r="J107" s="479">
        <f t="shared" si="11"/>
        <v>0</v>
      </c>
      <c r="K107" s="479"/>
      <c r="L107" s="488"/>
      <c r="M107" s="479">
        <f t="shared" si="12"/>
        <v>0</v>
      </c>
      <c r="N107" s="488"/>
      <c r="O107" s="479">
        <f t="shared" si="13"/>
        <v>0</v>
      </c>
      <c r="P107" s="479">
        <f t="shared" si="14"/>
        <v>0</v>
      </c>
    </row>
    <row r="108" spans="1:16" ht="12.5">
      <c r="B108" s="160" t="str">
        <f t="shared" si="15"/>
        <v/>
      </c>
      <c r="C108" s="473">
        <f>IF(D93="","-",+C107+1)</f>
        <v>2026</v>
      </c>
      <c r="D108" s="347">
        <f>IF(F107+SUM(E$99:E107)=D$92,F107,D$92-SUM(E$99:E107))</f>
        <v>1066516</v>
      </c>
      <c r="E108" s="485">
        <f t="shared" si="16"/>
        <v>31139</v>
      </c>
      <c r="F108" s="486">
        <f t="shared" si="17"/>
        <v>1035377</v>
      </c>
      <c r="G108" s="486">
        <f t="shared" si="18"/>
        <v>1050946.5</v>
      </c>
      <c r="H108" s="487">
        <f t="shared" si="20"/>
        <v>152310.24211083876</v>
      </c>
      <c r="I108" s="543">
        <f t="shared" si="21"/>
        <v>152310.24211083876</v>
      </c>
      <c r="J108" s="479">
        <f t="shared" si="11"/>
        <v>0</v>
      </c>
      <c r="K108" s="479"/>
      <c r="L108" s="488"/>
      <c r="M108" s="479">
        <f t="shared" si="12"/>
        <v>0</v>
      </c>
      <c r="N108" s="488"/>
      <c r="O108" s="479">
        <f t="shared" si="13"/>
        <v>0</v>
      </c>
      <c r="P108" s="479">
        <f t="shared" si="14"/>
        <v>0</v>
      </c>
    </row>
    <row r="109" spans="1:16" ht="12.5">
      <c r="B109" s="160" t="str">
        <f t="shared" si="15"/>
        <v/>
      </c>
      <c r="C109" s="473">
        <f>IF(D93="","-",+C108+1)</f>
        <v>2027</v>
      </c>
      <c r="D109" s="347">
        <f>IF(F108+SUM(E$99:E108)=D$92,F108,D$92-SUM(E$99:E108))</f>
        <v>1035377</v>
      </c>
      <c r="E109" s="485">
        <f t="shared" si="16"/>
        <v>31139</v>
      </c>
      <c r="F109" s="486">
        <f t="shared" si="17"/>
        <v>1004238</v>
      </c>
      <c r="G109" s="486">
        <f t="shared" si="18"/>
        <v>1019807.5</v>
      </c>
      <c r="H109" s="487">
        <f t="shared" si="20"/>
        <v>148720.0010204603</v>
      </c>
      <c r="I109" s="543">
        <f t="shared" si="21"/>
        <v>148720.0010204603</v>
      </c>
      <c r="J109" s="479">
        <f t="shared" si="11"/>
        <v>0</v>
      </c>
      <c r="K109" s="479"/>
      <c r="L109" s="488"/>
      <c r="M109" s="479">
        <f t="shared" si="12"/>
        <v>0</v>
      </c>
      <c r="N109" s="488"/>
      <c r="O109" s="479">
        <f t="shared" si="13"/>
        <v>0</v>
      </c>
      <c r="P109" s="479">
        <f t="shared" si="14"/>
        <v>0</v>
      </c>
    </row>
    <row r="110" spans="1:16" ht="12.5">
      <c r="B110" s="160" t="str">
        <f t="shared" si="15"/>
        <v/>
      </c>
      <c r="C110" s="473">
        <f>IF(D93="","-",+C109+1)</f>
        <v>2028</v>
      </c>
      <c r="D110" s="347">
        <f>IF(F109+SUM(E$99:E109)=D$92,F109,D$92-SUM(E$99:E109))</f>
        <v>1004238</v>
      </c>
      <c r="E110" s="485">
        <f t="shared" si="16"/>
        <v>31139</v>
      </c>
      <c r="F110" s="486">
        <f t="shared" si="17"/>
        <v>973099</v>
      </c>
      <c r="G110" s="486">
        <f t="shared" si="18"/>
        <v>988668.5</v>
      </c>
      <c r="H110" s="487">
        <f t="shared" si="20"/>
        <v>145129.75993008184</v>
      </c>
      <c r="I110" s="543">
        <f t="shared" si="21"/>
        <v>145129.75993008184</v>
      </c>
      <c r="J110" s="479">
        <f t="shared" si="11"/>
        <v>0</v>
      </c>
      <c r="K110" s="479"/>
      <c r="L110" s="488"/>
      <c r="M110" s="479">
        <f t="shared" si="12"/>
        <v>0</v>
      </c>
      <c r="N110" s="488"/>
      <c r="O110" s="479">
        <f t="shared" si="13"/>
        <v>0</v>
      </c>
      <c r="P110" s="479">
        <f t="shared" si="14"/>
        <v>0</v>
      </c>
    </row>
    <row r="111" spans="1:16" ht="12.5">
      <c r="B111" s="160" t="str">
        <f t="shared" si="15"/>
        <v/>
      </c>
      <c r="C111" s="473">
        <f>IF(D93="","-",+C110+1)</f>
        <v>2029</v>
      </c>
      <c r="D111" s="347">
        <f>IF(F110+SUM(E$99:E110)=D$92,F110,D$92-SUM(E$99:E110))</f>
        <v>973099</v>
      </c>
      <c r="E111" s="485">
        <f t="shared" si="16"/>
        <v>31139</v>
      </c>
      <c r="F111" s="486">
        <f t="shared" si="17"/>
        <v>941960</v>
      </c>
      <c r="G111" s="486">
        <f t="shared" si="18"/>
        <v>957529.5</v>
      </c>
      <c r="H111" s="487">
        <f t="shared" si="20"/>
        <v>141539.51883970341</v>
      </c>
      <c r="I111" s="543">
        <f t="shared" si="21"/>
        <v>141539.51883970341</v>
      </c>
      <c r="J111" s="479">
        <f t="shared" si="11"/>
        <v>0</v>
      </c>
      <c r="K111" s="479"/>
      <c r="L111" s="488"/>
      <c r="M111" s="479">
        <f t="shared" si="12"/>
        <v>0</v>
      </c>
      <c r="N111" s="488"/>
      <c r="O111" s="479">
        <f t="shared" si="13"/>
        <v>0</v>
      </c>
      <c r="P111" s="479">
        <f t="shared" si="14"/>
        <v>0</v>
      </c>
    </row>
    <row r="112" spans="1:16" ht="12.5">
      <c r="B112" s="160" t="str">
        <f t="shared" si="15"/>
        <v/>
      </c>
      <c r="C112" s="473">
        <f>IF(D93="","-",+C111+1)</f>
        <v>2030</v>
      </c>
      <c r="D112" s="347">
        <f>IF(F111+SUM(E$99:E111)=D$92,F111,D$92-SUM(E$99:E111))</f>
        <v>941960</v>
      </c>
      <c r="E112" s="485">
        <f t="shared" si="16"/>
        <v>31139</v>
      </c>
      <c r="F112" s="486">
        <f t="shared" si="17"/>
        <v>910821</v>
      </c>
      <c r="G112" s="486">
        <f t="shared" si="18"/>
        <v>926390.5</v>
      </c>
      <c r="H112" s="487">
        <f t="shared" si="20"/>
        <v>137949.27774932497</v>
      </c>
      <c r="I112" s="543">
        <f t="shared" si="21"/>
        <v>137949.27774932497</v>
      </c>
      <c r="J112" s="479">
        <f t="shared" si="11"/>
        <v>0</v>
      </c>
      <c r="K112" s="479"/>
      <c r="L112" s="488"/>
      <c r="M112" s="479">
        <f t="shared" si="12"/>
        <v>0</v>
      </c>
      <c r="N112" s="488"/>
      <c r="O112" s="479">
        <f t="shared" si="13"/>
        <v>0</v>
      </c>
      <c r="P112" s="479">
        <f t="shared" si="14"/>
        <v>0</v>
      </c>
    </row>
    <row r="113" spans="2:16" ht="12.5">
      <c r="B113" s="160" t="str">
        <f t="shared" si="15"/>
        <v/>
      </c>
      <c r="C113" s="473">
        <f>IF(D93="","-",+C112+1)</f>
        <v>2031</v>
      </c>
      <c r="D113" s="347">
        <f>IF(F112+SUM(E$99:E112)=D$92,F112,D$92-SUM(E$99:E112))</f>
        <v>910821</v>
      </c>
      <c r="E113" s="485">
        <f t="shared" si="16"/>
        <v>31139</v>
      </c>
      <c r="F113" s="486">
        <f t="shared" si="17"/>
        <v>879682</v>
      </c>
      <c r="G113" s="486">
        <f t="shared" si="18"/>
        <v>895251.5</v>
      </c>
      <c r="H113" s="487">
        <f t="shared" si="20"/>
        <v>134359.03665894654</v>
      </c>
      <c r="I113" s="543">
        <f t="shared" si="21"/>
        <v>134359.03665894654</v>
      </c>
      <c r="J113" s="479">
        <f t="shared" si="11"/>
        <v>0</v>
      </c>
      <c r="K113" s="479"/>
      <c r="L113" s="488"/>
      <c r="M113" s="479">
        <f t="shared" si="12"/>
        <v>0</v>
      </c>
      <c r="N113" s="488"/>
      <c r="O113" s="479">
        <f t="shared" si="13"/>
        <v>0</v>
      </c>
      <c r="P113" s="479">
        <f t="shared" si="14"/>
        <v>0</v>
      </c>
    </row>
    <row r="114" spans="2:16" ht="12.5">
      <c r="B114" s="160" t="str">
        <f t="shared" si="15"/>
        <v/>
      </c>
      <c r="C114" s="473">
        <f>IF(D93="","-",+C113+1)</f>
        <v>2032</v>
      </c>
      <c r="D114" s="347">
        <f>IF(F113+SUM(E$99:E113)=D$92,F113,D$92-SUM(E$99:E113))</f>
        <v>879682</v>
      </c>
      <c r="E114" s="485">
        <f t="shared" si="16"/>
        <v>31139</v>
      </c>
      <c r="F114" s="486">
        <f t="shared" si="17"/>
        <v>848543</v>
      </c>
      <c r="G114" s="486">
        <f t="shared" si="18"/>
        <v>864112.5</v>
      </c>
      <c r="H114" s="487">
        <f t="shared" si="20"/>
        <v>130768.79556856809</v>
      </c>
      <c r="I114" s="543">
        <f t="shared" si="21"/>
        <v>130768.79556856809</v>
      </c>
      <c r="J114" s="479">
        <f t="shared" si="11"/>
        <v>0</v>
      </c>
      <c r="K114" s="479"/>
      <c r="L114" s="488"/>
      <c r="M114" s="479">
        <f t="shared" si="12"/>
        <v>0</v>
      </c>
      <c r="N114" s="488"/>
      <c r="O114" s="479">
        <f t="shared" si="13"/>
        <v>0</v>
      </c>
      <c r="P114" s="479">
        <f t="shared" si="14"/>
        <v>0</v>
      </c>
    </row>
    <row r="115" spans="2:16" ht="12.5">
      <c r="B115" s="160" t="str">
        <f t="shared" si="15"/>
        <v/>
      </c>
      <c r="C115" s="473">
        <f>IF(D93="","-",+C114+1)</f>
        <v>2033</v>
      </c>
      <c r="D115" s="347">
        <f>IF(F114+SUM(E$99:E114)=D$92,F114,D$92-SUM(E$99:E114))</f>
        <v>848543</v>
      </c>
      <c r="E115" s="485">
        <f t="shared" si="16"/>
        <v>31139</v>
      </c>
      <c r="F115" s="486">
        <f t="shared" si="17"/>
        <v>817404</v>
      </c>
      <c r="G115" s="486">
        <f t="shared" si="18"/>
        <v>832973.5</v>
      </c>
      <c r="H115" s="487">
        <f t="shared" si="20"/>
        <v>127178.55447818965</v>
      </c>
      <c r="I115" s="543">
        <f t="shared" si="21"/>
        <v>127178.55447818965</v>
      </c>
      <c r="J115" s="479">
        <f t="shared" si="11"/>
        <v>0</v>
      </c>
      <c r="K115" s="479"/>
      <c r="L115" s="488"/>
      <c r="M115" s="479">
        <f t="shared" si="12"/>
        <v>0</v>
      </c>
      <c r="N115" s="488"/>
      <c r="O115" s="479">
        <f t="shared" si="13"/>
        <v>0</v>
      </c>
      <c r="P115" s="479">
        <f t="shared" si="14"/>
        <v>0</v>
      </c>
    </row>
    <row r="116" spans="2:16" ht="12.5">
      <c r="B116" s="160" t="str">
        <f t="shared" si="15"/>
        <v/>
      </c>
      <c r="C116" s="473">
        <f>IF(D93="","-",+C115+1)</f>
        <v>2034</v>
      </c>
      <c r="D116" s="347">
        <f>IF(F115+SUM(E$99:E115)=D$92,F115,D$92-SUM(E$99:E115))</f>
        <v>817404</v>
      </c>
      <c r="E116" s="485">
        <f t="shared" si="16"/>
        <v>31139</v>
      </c>
      <c r="F116" s="486">
        <f t="shared" si="17"/>
        <v>786265</v>
      </c>
      <c r="G116" s="486">
        <f t="shared" si="18"/>
        <v>801834.5</v>
      </c>
      <c r="H116" s="487">
        <f t="shared" si="20"/>
        <v>123588.31338781121</v>
      </c>
      <c r="I116" s="543">
        <f t="shared" si="21"/>
        <v>123588.31338781121</v>
      </c>
      <c r="J116" s="479">
        <f t="shared" si="11"/>
        <v>0</v>
      </c>
      <c r="K116" s="479"/>
      <c r="L116" s="488"/>
      <c r="M116" s="479">
        <f t="shared" si="12"/>
        <v>0</v>
      </c>
      <c r="N116" s="488"/>
      <c r="O116" s="479">
        <f t="shared" si="13"/>
        <v>0</v>
      </c>
      <c r="P116" s="479">
        <f t="shared" si="14"/>
        <v>0</v>
      </c>
    </row>
    <row r="117" spans="2:16" ht="12.5">
      <c r="B117" s="160" t="str">
        <f t="shared" si="15"/>
        <v/>
      </c>
      <c r="C117" s="473">
        <f>IF(D93="","-",+C116+1)</f>
        <v>2035</v>
      </c>
      <c r="D117" s="347">
        <f>IF(F116+SUM(E$99:E116)=D$92,F116,D$92-SUM(E$99:E116))</f>
        <v>786265</v>
      </c>
      <c r="E117" s="485">
        <f t="shared" si="16"/>
        <v>31139</v>
      </c>
      <c r="F117" s="486">
        <f t="shared" si="17"/>
        <v>755126</v>
      </c>
      <c r="G117" s="486">
        <f t="shared" si="18"/>
        <v>770695.5</v>
      </c>
      <c r="H117" s="487">
        <f t="shared" si="20"/>
        <v>119998.07229743277</v>
      </c>
      <c r="I117" s="543">
        <f t="shared" si="21"/>
        <v>119998.07229743277</v>
      </c>
      <c r="J117" s="479">
        <f t="shared" si="11"/>
        <v>0</v>
      </c>
      <c r="K117" s="479"/>
      <c r="L117" s="488"/>
      <c r="M117" s="479">
        <f t="shared" si="12"/>
        <v>0</v>
      </c>
      <c r="N117" s="488"/>
      <c r="O117" s="479">
        <f t="shared" si="13"/>
        <v>0</v>
      </c>
      <c r="P117" s="479">
        <f t="shared" si="14"/>
        <v>0</v>
      </c>
    </row>
    <row r="118" spans="2:16" ht="12.5">
      <c r="B118" s="160" t="str">
        <f t="shared" si="15"/>
        <v/>
      </c>
      <c r="C118" s="473">
        <f>IF(D93="","-",+C117+1)</f>
        <v>2036</v>
      </c>
      <c r="D118" s="347">
        <f>IF(F117+SUM(E$99:E117)=D$92,F117,D$92-SUM(E$99:E117))</f>
        <v>755126</v>
      </c>
      <c r="E118" s="485">
        <f t="shared" si="16"/>
        <v>31139</v>
      </c>
      <c r="F118" s="486">
        <f t="shared" si="17"/>
        <v>723987</v>
      </c>
      <c r="G118" s="486">
        <f t="shared" si="18"/>
        <v>739556.5</v>
      </c>
      <c r="H118" s="487">
        <f t="shared" si="20"/>
        <v>116407.83120705432</v>
      </c>
      <c r="I118" s="543">
        <f t="shared" si="21"/>
        <v>116407.83120705432</v>
      </c>
      <c r="J118" s="479">
        <f t="shared" si="11"/>
        <v>0</v>
      </c>
      <c r="K118" s="479"/>
      <c r="L118" s="488"/>
      <c r="M118" s="479">
        <f t="shared" si="12"/>
        <v>0</v>
      </c>
      <c r="N118" s="488"/>
      <c r="O118" s="479">
        <f t="shared" si="13"/>
        <v>0</v>
      </c>
      <c r="P118" s="479">
        <f t="shared" si="14"/>
        <v>0</v>
      </c>
    </row>
    <row r="119" spans="2:16" ht="12.5">
      <c r="B119" s="160" t="str">
        <f t="shared" si="15"/>
        <v/>
      </c>
      <c r="C119" s="473">
        <f>IF(D93="","-",+C118+1)</f>
        <v>2037</v>
      </c>
      <c r="D119" s="347">
        <f>IF(F118+SUM(E$99:E118)=D$92,F118,D$92-SUM(E$99:E118))</f>
        <v>723987</v>
      </c>
      <c r="E119" s="485">
        <f t="shared" si="16"/>
        <v>31139</v>
      </c>
      <c r="F119" s="486">
        <f t="shared" si="17"/>
        <v>692848</v>
      </c>
      <c r="G119" s="486">
        <f t="shared" si="18"/>
        <v>708417.5</v>
      </c>
      <c r="H119" s="487">
        <f t="shared" si="20"/>
        <v>112817.59011667588</v>
      </c>
      <c r="I119" s="543">
        <f t="shared" si="21"/>
        <v>112817.59011667588</v>
      </c>
      <c r="J119" s="479">
        <f t="shared" si="11"/>
        <v>0</v>
      </c>
      <c r="K119" s="479"/>
      <c r="L119" s="488"/>
      <c r="M119" s="479">
        <f t="shared" si="12"/>
        <v>0</v>
      </c>
      <c r="N119" s="488"/>
      <c r="O119" s="479">
        <f t="shared" si="13"/>
        <v>0</v>
      </c>
      <c r="P119" s="479">
        <f t="shared" si="14"/>
        <v>0</v>
      </c>
    </row>
    <row r="120" spans="2:16" ht="12.5">
      <c r="B120" s="160" t="str">
        <f t="shared" si="15"/>
        <v/>
      </c>
      <c r="C120" s="473">
        <f>IF(D93="","-",+C119+1)</f>
        <v>2038</v>
      </c>
      <c r="D120" s="347">
        <f>IF(F119+SUM(E$99:E119)=D$92,F119,D$92-SUM(E$99:E119))</f>
        <v>692848</v>
      </c>
      <c r="E120" s="485">
        <f t="shared" si="16"/>
        <v>31139</v>
      </c>
      <c r="F120" s="486">
        <f t="shared" si="17"/>
        <v>661709</v>
      </c>
      <c r="G120" s="486">
        <f t="shared" si="18"/>
        <v>677278.5</v>
      </c>
      <c r="H120" s="487">
        <f t="shared" si="20"/>
        <v>109227.34902629744</v>
      </c>
      <c r="I120" s="543">
        <f t="shared" si="21"/>
        <v>109227.34902629744</v>
      </c>
      <c r="J120" s="479">
        <f t="shared" si="11"/>
        <v>0</v>
      </c>
      <c r="K120" s="479"/>
      <c r="L120" s="488"/>
      <c r="M120" s="479">
        <f t="shared" si="12"/>
        <v>0</v>
      </c>
      <c r="N120" s="488"/>
      <c r="O120" s="479">
        <f t="shared" si="13"/>
        <v>0</v>
      </c>
      <c r="P120" s="479">
        <f t="shared" si="14"/>
        <v>0</v>
      </c>
    </row>
    <row r="121" spans="2:16" ht="12.5">
      <c r="B121" s="160" t="str">
        <f t="shared" si="15"/>
        <v/>
      </c>
      <c r="C121" s="473">
        <f>IF(D93="","-",+C120+1)</f>
        <v>2039</v>
      </c>
      <c r="D121" s="347">
        <f>IF(F120+SUM(E$99:E120)=D$92,F120,D$92-SUM(E$99:E120))</f>
        <v>661709</v>
      </c>
      <c r="E121" s="485">
        <f t="shared" si="16"/>
        <v>31139</v>
      </c>
      <c r="F121" s="486">
        <f t="shared" si="17"/>
        <v>630570</v>
      </c>
      <c r="G121" s="486">
        <f t="shared" si="18"/>
        <v>646139.5</v>
      </c>
      <c r="H121" s="487">
        <f t="shared" si="20"/>
        <v>105637.10793591899</v>
      </c>
      <c r="I121" s="543">
        <f t="shared" si="21"/>
        <v>105637.10793591899</v>
      </c>
      <c r="J121" s="479">
        <f t="shared" si="11"/>
        <v>0</v>
      </c>
      <c r="K121" s="479"/>
      <c r="L121" s="488"/>
      <c r="M121" s="479">
        <f t="shared" si="12"/>
        <v>0</v>
      </c>
      <c r="N121" s="488"/>
      <c r="O121" s="479">
        <f t="shared" si="13"/>
        <v>0</v>
      </c>
      <c r="P121" s="479">
        <f t="shared" si="14"/>
        <v>0</v>
      </c>
    </row>
    <row r="122" spans="2:16" ht="12.5">
      <c r="B122" s="160" t="str">
        <f t="shared" si="15"/>
        <v/>
      </c>
      <c r="C122" s="473">
        <f>IF(D93="","-",+C121+1)</f>
        <v>2040</v>
      </c>
      <c r="D122" s="347">
        <f>IF(F121+SUM(E$99:E121)=D$92,F121,D$92-SUM(E$99:E121))</f>
        <v>630570</v>
      </c>
      <c r="E122" s="485">
        <f t="shared" si="16"/>
        <v>31139</v>
      </c>
      <c r="F122" s="486">
        <f t="shared" si="17"/>
        <v>599431</v>
      </c>
      <c r="G122" s="486">
        <f t="shared" si="18"/>
        <v>615000.5</v>
      </c>
      <c r="H122" s="487">
        <f t="shared" si="20"/>
        <v>102046.86684554056</v>
      </c>
      <c r="I122" s="543">
        <f t="shared" si="21"/>
        <v>102046.86684554056</v>
      </c>
      <c r="J122" s="479">
        <f t="shared" si="11"/>
        <v>0</v>
      </c>
      <c r="K122" s="479"/>
      <c r="L122" s="488"/>
      <c r="M122" s="479">
        <f t="shared" si="12"/>
        <v>0</v>
      </c>
      <c r="N122" s="488"/>
      <c r="O122" s="479">
        <f t="shared" si="13"/>
        <v>0</v>
      </c>
      <c r="P122" s="479">
        <f t="shared" si="14"/>
        <v>0</v>
      </c>
    </row>
    <row r="123" spans="2:16" ht="12.5">
      <c r="B123" s="160" t="str">
        <f t="shared" si="15"/>
        <v/>
      </c>
      <c r="C123" s="473">
        <f>IF(D93="","-",+C122+1)</f>
        <v>2041</v>
      </c>
      <c r="D123" s="347">
        <f>IF(F122+SUM(E$99:E122)=D$92,F122,D$92-SUM(E$99:E122))</f>
        <v>599431</v>
      </c>
      <c r="E123" s="485">
        <f t="shared" si="16"/>
        <v>31139</v>
      </c>
      <c r="F123" s="486">
        <f t="shared" si="17"/>
        <v>568292</v>
      </c>
      <c r="G123" s="486">
        <f t="shared" si="18"/>
        <v>583861.5</v>
      </c>
      <c r="H123" s="487">
        <f t="shared" si="20"/>
        <v>98456.625755162109</v>
      </c>
      <c r="I123" s="543">
        <f t="shared" si="21"/>
        <v>98456.625755162109</v>
      </c>
      <c r="J123" s="479">
        <f t="shared" si="11"/>
        <v>0</v>
      </c>
      <c r="K123" s="479"/>
      <c r="L123" s="488"/>
      <c r="M123" s="479">
        <f t="shared" si="12"/>
        <v>0</v>
      </c>
      <c r="N123" s="488"/>
      <c r="O123" s="479">
        <f t="shared" si="13"/>
        <v>0</v>
      </c>
      <c r="P123" s="479">
        <f t="shared" si="14"/>
        <v>0</v>
      </c>
    </row>
    <row r="124" spans="2:16" ht="12.5">
      <c r="B124" s="160" t="str">
        <f t="shared" si="15"/>
        <v/>
      </c>
      <c r="C124" s="473">
        <f>IF(D93="","-",+C123+1)</f>
        <v>2042</v>
      </c>
      <c r="D124" s="347">
        <f>IF(F123+SUM(E$99:E123)=D$92,F123,D$92-SUM(E$99:E123))</f>
        <v>568292</v>
      </c>
      <c r="E124" s="485">
        <f t="shared" si="16"/>
        <v>31139</v>
      </c>
      <c r="F124" s="486">
        <f t="shared" si="17"/>
        <v>537153</v>
      </c>
      <c r="G124" s="486">
        <f t="shared" si="18"/>
        <v>552722.5</v>
      </c>
      <c r="H124" s="487">
        <f t="shared" si="20"/>
        <v>94866.384664783662</v>
      </c>
      <c r="I124" s="543">
        <f t="shared" si="21"/>
        <v>94866.384664783662</v>
      </c>
      <c r="J124" s="479">
        <f t="shared" si="11"/>
        <v>0</v>
      </c>
      <c r="K124" s="479"/>
      <c r="L124" s="488"/>
      <c r="M124" s="479">
        <f t="shared" si="12"/>
        <v>0</v>
      </c>
      <c r="N124" s="488"/>
      <c r="O124" s="479">
        <f t="shared" si="13"/>
        <v>0</v>
      </c>
      <c r="P124" s="479">
        <f t="shared" si="14"/>
        <v>0</v>
      </c>
    </row>
    <row r="125" spans="2:16" ht="12.5">
      <c r="B125" s="160" t="str">
        <f t="shared" si="15"/>
        <v/>
      </c>
      <c r="C125" s="473">
        <f>IF(D93="","-",+C124+1)</f>
        <v>2043</v>
      </c>
      <c r="D125" s="347">
        <f>IF(F124+SUM(E$99:E124)=D$92,F124,D$92-SUM(E$99:E124))</f>
        <v>537153</v>
      </c>
      <c r="E125" s="485">
        <f t="shared" si="16"/>
        <v>31139</v>
      </c>
      <c r="F125" s="486">
        <f t="shared" si="17"/>
        <v>506014</v>
      </c>
      <c r="G125" s="486">
        <f t="shared" si="18"/>
        <v>521583.5</v>
      </c>
      <c r="H125" s="487">
        <f t="shared" si="20"/>
        <v>91276.143574405229</v>
      </c>
      <c r="I125" s="543">
        <f t="shared" si="21"/>
        <v>91276.143574405229</v>
      </c>
      <c r="J125" s="479">
        <f t="shared" si="11"/>
        <v>0</v>
      </c>
      <c r="K125" s="479"/>
      <c r="L125" s="488"/>
      <c r="M125" s="479">
        <f t="shared" si="12"/>
        <v>0</v>
      </c>
      <c r="N125" s="488"/>
      <c r="O125" s="479">
        <f t="shared" si="13"/>
        <v>0</v>
      </c>
      <c r="P125" s="479">
        <f t="shared" si="14"/>
        <v>0</v>
      </c>
    </row>
    <row r="126" spans="2:16" ht="12.5">
      <c r="B126" s="160" t="str">
        <f t="shared" si="15"/>
        <v/>
      </c>
      <c r="C126" s="473">
        <f>IF(D93="","-",+C125+1)</f>
        <v>2044</v>
      </c>
      <c r="D126" s="347">
        <f>IF(F125+SUM(E$99:E125)=D$92,F125,D$92-SUM(E$99:E125))</f>
        <v>506014</v>
      </c>
      <c r="E126" s="485">
        <f t="shared" si="16"/>
        <v>31139</v>
      </c>
      <c r="F126" s="486">
        <f t="shared" si="17"/>
        <v>474875</v>
      </c>
      <c r="G126" s="486">
        <f t="shared" si="18"/>
        <v>490444.5</v>
      </c>
      <c r="H126" s="487">
        <f t="shared" si="20"/>
        <v>87685.902484026781</v>
      </c>
      <c r="I126" s="543">
        <f t="shared" si="21"/>
        <v>87685.902484026781</v>
      </c>
      <c r="J126" s="479">
        <f t="shared" si="11"/>
        <v>0</v>
      </c>
      <c r="K126" s="479"/>
      <c r="L126" s="488"/>
      <c r="M126" s="479">
        <f t="shared" si="12"/>
        <v>0</v>
      </c>
      <c r="N126" s="488"/>
      <c r="O126" s="479">
        <f t="shared" si="13"/>
        <v>0</v>
      </c>
      <c r="P126" s="479">
        <f t="shared" si="14"/>
        <v>0</v>
      </c>
    </row>
    <row r="127" spans="2:16" ht="12.5">
      <c r="B127" s="160" t="str">
        <f t="shared" si="15"/>
        <v/>
      </c>
      <c r="C127" s="473">
        <f>IF(D93="","-",+C126+1)</f>
        <v>2045</v>
      </c>
      <c r="D127" s="347">
        <f>IF(F126+SUM(E$99:E126)=D$92,F126,D$92-SUM(E$99:E126))</f>
        <v>474875</v>
      </c>
      <c r="E127" s="485">
        <f t="shared" si="16"/>
        <v>31139</v>
      </c>
      <c r="F127" s="486">
        <f t="shared" si="17"/>
        <v>443736</v>
      </c>
      <c r="G127" s="486">
        <f t="shared" si="18"/>
        <v>459305.5</v>
      </c>
      <c r="H127" s="487">
        <f t="shared" si="20"/>
        <v>84095.661393648334</v>
      </c>
      <c r="I127" s="543">
        <f t="shared" si="21"/>
        <v>84095.661393648334</v>
      </c>
      <c r="J127" s="479">
        <f t="shared" si="11"/>
        <v>0</v>
      </c>
      <c r="K127" s="479"/>
      <c r="L127" s="488"/>
      <c r="M127" s="479">
        <f t="shared" si="12"/>
        <v>0</v>
      </c>
      <c r="N127" s="488"/>
      <c r="O127" s="479">
        <f t="shared" si="13"/>
        <v>0</v>
      </c>
      <c r="P127" s="479">
        <f t="shared" si="14"/>
        <v>0</v>
      </c>
    </row>
    <row r="128" spans="2:16" ht="12.5">
      <c r="B128" s="160" t="str">
        <f t="shared" si="15"/>
        <v/>
      </c>
      <c r="C128" s="473">
        <f>IF(D93="","-",+C127+1)</f>
        <v>2046</v>
      </c>
      <c r="D128" s="347">
        <f>IF(F127+SUM(E$99:E127)=D$92,F127,D$92-SUM(E$99:E127))</f>
        <v>443736</v>
      </c>
      <c r="E128" s="485">
        <f t="shared" si="16"/>
        <v>31139</v>
      </c>
      <c r="F128" s="486">
        <f t="shared" si="17"/>
        <v>412597</v>
      </c>
      <c r="G128" s="486">
        <f t="shared" si="18"/>
        <v>428166.5</v>
      </c>
      <c r="H128" s="487">
        <f t="shared" si="20"/>
        <v>80505.420303269901</v>
      </c>
      <c r="I128" s="543">
        <f t="shared" si="21"/>
        <v>80505.420303269901</v>
      </c>
      <c r="J128" s="479">
        <f t="shared" si="11"/>
        <v>0</v>
      </c>
      <c r="K128" s="479"/>
      <c r="L128" s="488"/>
      <c r="M128" s="479">
        <f t="shared" si="12"/>
        <v>0</v>
      </c>
      <c r="N128" s="488"/>
      <c r="O128" s="479">
        <f t="shared" si="13"/>
        <v>0</v>
      </c>
      <c r="P128" s="479">
        <f t="shared" si="14"/>
        <v>0</v>
      </c>
    </row>
    <row r="129" spans="2:16" ht="12.5">
      <c r="B129" s="160" t="str">
        <f t="shared" si="15"/>
        <v/>
      </c>
      <c r="C129" s="473">
        <f>IF(D93="","-",+C128+1)</f>
        <v>2047</v>
      </c>
      <c r="D129" s="347">
        <f>IF(F128+SUM(E$99:E128)=D$92,F128,D$92-SUM(E$99:E128))</f>
        <v>412597</v>
      </c>
      <c r="E129" s="485">
        <f t="shared" si="16"/>
        <v>31139</v>
      </c>
      <c r="F129" s="486">
        <f t="shared" si="17"/>
        <v>381458</v>
      </c>
      <c r="G129" s="486">
        <f t="shared" si="18"/>
        <v>397027.5</v>
      </c>
      <c r="H129" s="487">
        <f t="shared" si="20"/>
        <v>76915.179212891453</v>
      </c>
      <c r="I129" s="543">
        <f t="shared" si="21"/>
        <v>76915.179212891453</v>
      </c>
      <c r="J129" s="479">
        <f t="shared" si="11"/>
        <v>0</v>
      </c>
      <c r="K129" s="479"/>
      <c r="L129" s="488"/>
      <c r="M129" s="479">
        <f t="shared" si="12"/>
        <v>0</v>
      </c>
      <c r="N129" s="488"/>
      <c r="O129" s="479">
        <f t="shared" si="13"/>
        <v>0</v>
      </c>
      <c r="P129" s="479">
        <f t="shared" si="14"/>
        <v>0</v>
      </c>
    </row>
    <row r="130" spans="2:16" ht="12.5">
      <c r="B130" s="160" t="str">
        <f t="shared" si="15"/>
        <v/>
      </c>
      <c r="C130" s="473">
        <f>IF(D93="","-",+C129+1)</f>
        <v>2048</v>
      </c>
      <c r="D130" s="347">
        <f>IF(F129+SUM(E$99:E129)=D$92,F129,D$92-SUM(E$99:E129))</f>
        <v>381458</v>
      </c>
      <c r="E130" s="485">
        <f t="shared" si="16"/>
        <v>31139</v>
      </c>
      <c r="F130" s="486">
        <f t="shared" si="17"/>
        <v>350319</v>
      </c>
      <c r="G130" s="486">
        <f t="shared" si="18"/>
        <v>365888.5</v>
      </c>
      <c r="H130" s="487">
        <f t="shared" si="20"/>
        <v>73324.938122513006</v>
      </c>
      <c r="I130" s="543">
        <f t="shared" si="21"/>
        <v>73324.938122513006</v>
      </c>
      <c r="J130" s="479">
        <f t="shared" si="11"/>
        <v>0</v>
      </c>
      <c r="K130" s="479"/>
      <c r="L130" s="488"/>
      <c r="M130" s="479">
        <f t="shared" si="12"/>
        <v>0</v>
      </c>
      <c r="N130" s="488"/>
      <c r="O130" s="479">
        <f t="shared" si="13"/>
        <v>0</v>
      </c>
      <c r="P130" s="479">
        <f t="shared" si="14"/>
        <v>0</v>
      </c>
    </row>
    <row r="131" spans="2:16" ht="12.5">
      <c r="B131" s="160" t="str">
        <f t="shared" si="15"/>
        <v/>
      </c>
      <c r="C131" s="473">
        <f>IF(D93="","-",+C130+1)</f>
        <v>2049</v>
      </c>
      <c r="D131" s="347">
        <f>IF(F130+SUM(E$99:E130)=D$92,F130,D$92-SUM(E$99:E130))</f>
        <v>350319</v>
      </c>
      <c r="E131" s="485">
        <f t="shared" si="16"/>
        <v>31139</v>
      </c>
      <c r="F131" s="486">
        <f t="shared" si="17"/>
        <v>319180</v>
      </c>
      <c r="G131" s="486">
        <f t="shared" si="18"/>
        <v>334749.5</v>
      </c>
      <c r="H131" s="487">
        <f t="shared" si="20"/>
        <v>69734.697032134573</v>
      </c>
      <c r="I131" s="543">
        <f t="shared" si="21"/>
        <v>69734.697032134573</v>
      </c>
      <c r="J131" s="479">
        <f t="shared" ref="J131:J154" si="22">+I541-H541</f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5"/>
        <v/>
      </c>
      <c r="C132" s="473">
        <f>IF(D93="","-",+C131+1)</f>
        <v>2050</v>
      </c>
      <c r="D132" s="347">
        <f>IF(F131+SUM(E$99:E131)=D$92,F131,D$92-SUM(E$99:E131))</f>
        <v>319180</v>
      </c>
      <c r="E132" s="485">
        <f t="shared" si="16"/>
        <v>31139</v>
      </c>
      <c r="F132" s="486">
        <f t="shared" si="17"/>
        <v>288041</v>
      </c>
      <c r="G132" s="486">
        <f t="shared" si="18"/>
        <v>303610.5</v>
      </c>
      <c r="H132" s="487">
        <f t="shared" si="20"/>
        <v>66144.455941756125</v>
      </c>
      <c r="I132" s="543">
        <f t="shared" si="21"/>
        <v>66144.455941756125</v>
      </c>
      <c r="J132" s="479">
        <f t="shared" si="22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5"/>
        <v/>
      </c>
      <c r="C133" s="473">
        <f>IF(D93="","-",+C132+1)</f>
        <v>2051</v>
      </c>
      <c r="D133" s="347">
        <f>IF(F132+SUM(E$99:E132)=D$92,F132,D$92-SUM(E$99:E132))</f>
        <v>288041</v>
      </c>
      <c r="E133" s="485">
        <f t="shared" si="16"/>
        <v>31139</v>
      </c>
      <c r="F133" s="486">
        <f t="shared" si="17"/>
        <v>256902</v>
      </c>
      <c r="G133" s="486">
        <f t="shared" si="18"/>
        <v>272471.5</v>
      </c>
      <c r="H133" s="487">
        <f t="shared" si="20"/>
        <v>62554.214851377685</v>
      </c>
      <c r="I133" s="543">
        <f t="shared" si="21"/>
        <v>62554.214851377685</v>
      </c>
      <c r="J133" s="479">
        <f t="shared" si="22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5"/>
        <v/>
      </c>
      <c r="C134" s="473">
        <f>IF(D93="","-",+C133+1)</f>
        <v>2052</v>
      </c>
      <c r="D134" s="347">
        <f>IF(F133+SUM(E$99:E133)=D$92,F133,D$92-SUM(E$99:E133))</f>
        <v>256902</v>
      </c>
      <c r="E134" s="485">
        <f t="shared" si="16"/>
        <v>31139</v>
      </c>
      <c r="F134" s="486">
        <f t="shared" si="17"/>
        <v>225763</v>
      </c>
      <c r="G134" s="486">
        <f t="shared" si="18"/>
        <v>241332.5</v>
      </c>
      <c r="H134" s="487">
        <f t="shared" si="20"/>
        <v>58963.973760999244</v>
      </c>
      <c r="I134" s="543">
        <f t="shared" si="21"/>
        <v>58963.973760999244</v>
      </c>
      <c r="J134" s="479">
        <f t="shared" si="22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5"/>
        <v/>
      </c>
      <c r="C135" s="473">
        <f>IF(D93="","-",+C134+1)</f>
        <v>2053</v>
      </c>
      <c r="D135" s="347">
        <f>IF(F134+SUM(E$99:E134)=D$92,F134,D$92-SUM(E$99:E134))</f>
        <v>225763</v>
      </c>
      <c r="E135" s="485">
        <f t="shared" si="16"/>
        <v>31139</v>
      </c>
      <c r="F135" s="486">
        <f t="shared" si="17"/>
        <v>194624</v>
      </c>
      <c r="G135" s="486">
        <f t="shared" si="18"/>
        <v>210193.5</v>
      </c>
      <c r="H135" s="487">
        <f t="shared" si="20"/>
        <v>55373.732670620797</v>
      </c>
      <c r="I135" s="543">
        <f t="shared" si="21"/>
        <v>55373.732670620797</v>
      </c>
      <c r="J135" s="479">
        <f t="shared" si="22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5"/>
        <v/>
      </c>
      <c r="C136" s="473">
        <f>IF(D93="","-",+C135+1)</f>
        <v>2054</v>
      </c>
      <c r="D136" s="347">
        <f>IF(F135+SUM(E$99:E135)=D$92,F135,D$92-SUM(E$99:E135))</f>
        <v>194624</v>
      </c>
      <c r="E136" s="485">
        <f t="shared" si="16"/>
        <v>31139</v>
      </c>
      <c r="F136" s="486">
        <f t="shared" si="17"/>
        <v>163485</v>
      </c>
      <c r="G136" s="486">
        <f t="shared" si="18"/>
        <v>179054.5</v>
      </c>
      <c r="H136" s="487">
        <f t="shared" si="20"/>
        <v>51783.491580242364</v>
      </c>
      <c r="I136" s="543">
        <f t="shared" si="21"/>
        <v>51783.491580242364</v>
      </c>
      <c r="J136" s="479">
        <f t="shared" si="22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5"/>
        <v/>
      </c>
      <c r="C137" s="473">
        <f>IF(D93="","-",+C136+1)</f>
        <v>2055</v>
      </c>
      <c r="D137" s="347">
        <f>IF(F136+SUM(E$99:E136)=D$92,F136,D$92-SUM(E$99:E136))</f>
        <v>163485</v>
      </c>
      <c r="E137" s="485">
        <f t="shared" si="16"/>
        <v>31139</v>
      </c>
      <c r="F137" s="486">
        <f t="shared" si="17"/>
        <v>132346</v>
      </c>
      <c r="G137" s="486">
        <f t="shared" si="18"/>
        <v>147915.5</v>
      </c>
      <c r="H137" s="487">
        <f t="shared" si="20"/>
        <v>48193.250489863916</v>
      </c>
      <c r="I137" s="543">
        <f t="shared" si="21"/>
        <v>48193.250489863916</v>
      </c>
      <c r="J137" s="479">
        <f t="shared" si="22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5"/>
        <v/>
      </c>
      <c r="C138" s="473">
        <f>IF(D93="","-",+C137+1)</f>
        <v>2056</v>
      </c>
      <c r="D138" s="347">
        <f>IF(F137+SUM(E$99:E137)=D$92,F137,D$92-SUM(E$99:E137))</f>
        <v>132346</v>
      </c>
      <c r="E138" s="485">
        <f t="shared" si="16"/>
        <v>31139</v>
      </c>
      <c r="F138" s="486">
        <f t="shared" si="17"/>
        <v>101207</v>
      </c>
      <c r="G138" s="486">
        <f t="shared" si="18"/>
        <v>116776.5</v>
      </c>
      <c r="H138" s="487">
        <f t="shared" si="20"/>
        <v>44603.009399485476</v>
      </c>
      <c r="I138" s="543">
        <f t="shared" si="21"/>
        <v>44603.009399485476</v>
      </c>
      <c r="J138" s="479">
        <f t="shared" si="22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5"/>
        <v/>
      </c>
      <c r="C139" s="473">
        <f>IF(D93="","-",+C138+1)</f>
        <v>2057</v>
      </c>
      <c r="D139" s="347">
        <f>IF(F138+SUM(E$99:E138)=D$92,F138,D$92-SUM(E$99:E138))</f>
        <v>101207</v>
      </c>
      <c r="E139" s="485">
        <f t="shared" si="16"/>
        <v>31139</v>
      </c>
      <c r="F139" s="486">
        <f t="shared" si="17"/>
        <v>70068</v>
      </c>
      <c r="G139" s="486">
        <f t="shared" si="18"/>
        <v>85637.5</v>
      </c>
      <c r="H139" s="487">
        <f t="shared" si="20"/>
        <v>41012.768309107036</v>
      </c>
      <c r="I139" s="543">
        <f t="shared" si="21"/>
        <v>41012.768309107036</v>
      </c>
      <c r="J139" s="479">
        <f t="shared" si="22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5"/>
        <v/>
      </c>
      <c r="C140" s="473">
        <f>IF(D93="","-",+C139+1)</f>
        <v>2058</v>
      </c>
      <c r="D140" s="347">
        <f>IF(F139+SUM(E$99:E139)=D$92,F139,D$92-SUM(E$99:E139))</f>
        <v>70068</v>
      </c>
      <c r="E140" s="485">
        <f t="shared" si="16"/>
        <v>31139</v>
      </c>
      <c r="F140" s="486">
        <f t="shared" si="17"/>
        <v>38929</v>
      </c>
      <c r="G140" s="486">
        <f t="shared" si="18"/>
        <v>54498.5</v>
      </c>
      <c r="H140" s="487">
        <f t="shared" si="20"/>
        <v>37422.527218728588</v>
      </c>
      <c r="I140" s="543">
        <f t="shared" si="21"/>
        <v>37422.527218728588</v>
      </c>
      <c r="J140" s="479">
        <f t="shared" si="22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5"/>
        <v/>
      </c>
      <c r="C141" s="473">
        <f>IF(D93="","-",+C140+1)</f>
        <v>2059</v>
      </c>
      <c r="D141" s="347">
        <f>IF(F140+SUM(E$99:E140)=D$92,F140,D$92-SUM(E$99:E140))</f>
        <v>38929</v>
      </c>
      <c r="E141" s="485">
        <f t="shared" si="16"/>
        <v>31139</v>
      </c>
      <c r="F141" s="486">
        <f t="shared" si="17"/>
        <v>7790</v>
      </c>
      <c r="G141" s="486">
        <f t="shared" si="18"/>
        <v>23359.5</v>
      </c>
      <c r="H141" s="487">
        <f t="shared" si="20"/>
        <v>33832.286128350148</v>
      </c>
      <c r="I141" s="543">
        <f t="shared" si="21"/>
        <v>33832.286128350148</v>
      </c>
      <c r="J141" s="479">
        <f t="shared" si="22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5"/>
        <v/>
      </c>
      <c r="C142" s="473">
        <f>IF(D93="","-",+C141+1)</f>
        <v>2060</v>
      </c>
      <c r="D142" s="347">
        <f>IF(F141+SUM(E$99:E141)=D$92,F141,D$92-SUM(E$99:E141))</f>
        <v>7790</v>
      </c>
      <c r="E142" s="485">
        <f t="shared" si="16"/>
        <v>7790</v>
      </c>
      <c r="F142" s="486">
        <f t="shared" si="17"/>
        <v>0</v>
      </c>
      <c r="G142" s="486">
        <f t="shared" si="18"/>
        <v>3895</v>
      </c>
      <c r="H142" s="487">
        <f t="shared" si="20"/>
        <v>8239.0827915804621</v>
      </c>
      <c r="I142" s="543">
        <f t="shared" si="21"/>
        <v>8239.0827915804621</v>
      </c>
      <c r="J142" s="479">
        <f t="shared" si="22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5"/>
        <v/>
      </c>
      <c r="C143" s="473">
        <f>IF(D93="","-",+C142+1)</f>
        <v>2061</v>
      </c>
      <c r="D143" s="347">
        <f>IF(F142+SUM(E$99:E142)=D$92,F142,D$92-SUM(E$99:E142))</f>
        <v>0</v>
      </c>
      <c r="E143" s="485">
        <f t="shared" si="16"/>
        <v>0</v>
      </c>
      <c r="F143" s="486">
        <f t="shared" si="17"/>
        <v>0</v>
      </c>
      <c r="G143" s="486">
        <f t="shared" si="18"/>
        <v>0</v>
      </c>
      <c r="H143" s="487">
        <f t="shared" si="20"/>
        <v>0</v>
      </c>
      <c r="I143" s="543">
        <f t="shared" si="21"/>
        <v>0</v>
      </c>
      <c r="J143" s="479">
        <f t="shared" si="22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5"/>
        <v/>
      </c>
      <c r="C144" s="473">
        <f>IF(D93="","-",+C143+1)</f>
        <v>2062</v>
      </c>
      <c r="D144" s="347">
        <f>IF(F143+SUM(E$99:E143)=D$92,F143,D$92-SUM(E$99:E143))</f>
        <v>0</v>
      </c>
      <c r="E144" s="485">
        <f t="shared" si="16"/>
        <v>0</v>
      </c>
      <c r="F144" s="486">
        <f t="shared" si="17"/>
        <v>0</v>
      </c>
      <c r="G144" s="486">
        <f t="shared" si="18"/>
        <v>0</v>
      </c>
      <c r="H144" s="487">
        <f t="shared" si="20"/>
        <v>0</v>
      </c>
      <c r="I144" s="543">
        <f t="shared" si="21"/>
        <v>0</v>
      </c>
      <c r="J144" s="479">
        <f t="shared" si="22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5"/>
        <v/>
      </c>
      <c r="C145" s="473">
        <f>IF(D93="","-",+C144+1)</f>
        <v>2063</v>
      </c>
      <c r="D145" s="347">
        <f>IF(F144+SUM(E$99:E144)=D$92,F144,D$92-SUM(E$99:E144))</f>
        <v>0</v>
      </c>
      <c r="E145" s="485">
        <f t="shared" si="16"/>
        <v>0</v>
      </c>
      <c r="F145" s="486">
        <f t="shared" si="17"/>
        <v>0</v>
      </c>
      <c r="G145" s="486">
        <f t="shared" si="18"/>
        <v>0</v>
      </c>
      <c r="H145" s="487">
        <f t="shared" si="20"/>
        <v>0</v>
      </c>
      <c r="I145" s="543">
        <f t="shared" si="21"/>
        <v>0</v>
      </c>
      <c r="J145" s="479">
        <f t="shared" si="22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5"/>
        <v/>
      </c>
      <c r="C146" s="473">
        <f>IF(D93="","-",+C145+1)</f>
        <v>2064</v>
      </c>
      <c r="D146" s="347">
        <f>IF(F145+SUM(E$99:E145)=D$92,F145,D$92-SUM(E$99:E145))</f>
        <v>0</v>
      </c>
      <c r="E146" s="485">
        <f t="shared" si="16"/>
        <v>0</v>
      </c>
      <c r="F146" s="486">
        <f t="shared" si="17"/>
        <v>0</v>
      </c>
      <c r="G146" s="486">
        <f t="shared" si="18"/>
        <v>0</v>
      </c>
      <c r="H146" s="487">
        <f t="shared" si="20"/>
        <v>0</v>
      </c>
      <c r="I146" s="543">
        <f t="shared" si="21"/>
        <v>0</v>
      </c>
      <c r="J146" s="479">
        <f t="shared" si="22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5"/>
        <v/>
      </c>
      <c r="C147" s="473">
        <f>IF(D93="","-",+C146+1)</f>
        <v>2065</v>
      </c>
      <c r="D147" s="347">
        <f>IF(F146+SUM(E$99:E146)=D$92,F146,D$92-SUM(E$99:E146))</f>
        <v>0</v>
      </c>
      <c r="E147" s="485">
        <f t="shared" si="16"/>
        <v>0</v>
      </c>
      <c r="F147" s="486">
        <f t="shared" si="17"/>
        <v>0</v>
      </c>
      <c r="G147" s="486">
        <f t="shared" si="18"/>
        <v>0</v>
      </c>
      <c r="H147" s="487">
        <f t="shared" si="20"/>
        <v>0</v>
      </c>
      <c r="I147" s="543">
        <f t="shared" si="21"/>
        <v>0</v>
      </c>
      <c r="J147" s="479">
        <f t="shared" si="22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5"/>
        <v/>
      </c>
      <c r="C148" s="473">
        <f>IF(D93="","-",+C147+1)</f>
        <v>2066</v>
      </c>
      <c r="D148" s="347">
        <f>IF(F147+SUM(E$99:E147)=D$92,F147,D$92-SUM(E$99:E147))</f>
        <v>0</v>
      </c>
      <c r="E148" s="485">
        <f t="shared" si="16"/>
        <v>0</v>
      </c>
      <c r="F148" s="486">
        <f t="shared" si="17"/>
        <v>0</v>
      </c>
      <c r="G148" s="486">
        <f t="shared" si="18"/>
        <v>0</v>
      </c>
      <c r="H148" s="487">
        <f t="shared" si="20"/>
        <v>0</v>
      </c>
      <c r="I148" s="543">
        <f t="shared" si="21"/>
        <v>0</v>
      </c>
      <c r="J148" s="479">
        <f t="shared" si="22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5"/>
        <v/>
      </c>
      <c r="C149" s="473">
        <f>IF(D93="","-",+C148+1)</f>
        <v>2067</v>
      </c>
      <c r="D149" s="347">
        <f>IF(F148+SUM(E$99:E148)=D$92,F148,D$92-SUM(E$99:E148))</f>
        <v>0</v>
      </c>
      <c r="E149" s="485">
        <f t="shared" si="16"/>
        <v>0</v>
      </c>
      <c r="F149" s="486">
        <f t="shared" si="17"/>
        <v>0</v>
      </c>
      <c r="G149" s="486">
        <f t="shared" si="18"/>
        <v>0</v>
      </c>
      <c r="H149" s="487">
        <f t="shared" si="20"/>
        <v>0</v>
      </c>
      <c r="I149" s="543">
        <f t="shared" si="21"/>
        <v>0</v>
      </c>
      <c r="J149" s="479">
        <f t="shared" si="22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5"/>
        <v/>
      </c>
      <c r="C150" s="473">
        <f>IF(D93="","-",+C149+1)</f>
        <v>2068</v>
      </c>
      <c r="D150" s="347">
        <f>IF(F149+SUM(E$99:E149)=D$92,F149,D$92-SUM(E$99:E149))</f>
        <v>0</v>
      </c>
      <c r="E150" s="485">
        <f t="shared" si="16"/>
        <v>0</v>
      </c>
      <c r="F150" s="486">
        <f t="shared" si="17"/>
        <v>0</v>
      </c>
      <c r="G150" s="486">
        <f t="shared" si="18"/>
        <v>0</v>
      </c>
      <c r="H150" s="487">
        <f t="shared" si="20"/>
        <v>0</v>
      </c>
      <c r="I150" s="543">
        <f t="shared" si="21"/>
        <v>0</v>
      </c>
      <c r="J150" s="479">
        <f t="shared" si="22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5"/>
        <v/>
      </c>
      <c r="C151" s="473">
        <f>IF(D93="","-",+C150+1)</f>
        <v>2069</v>
      </c>
      <c r="D151" s="347">
        <f>IF(F150+SUM(E$99:E150)=D$92,F150,D$92-SUM(E$99:E150))</f>
        <v>0</v>
      </c>
      <c r="E151" s="485">
        <f t="shared" si="16"/>
        <v>0</v>
      </c>
      <c r="F151" s="486">
        <f t="shared" si="17"/>
        <v>0</v>
      </c>
      <c r="G151" s="486">
        <f t="shared" si="18"/>
        <v>0</v>
      </c>
      <c r="H151" s="487">
        <f t="shared" si="20"/>
        <v>0</v>
      </c>
      <c r="I151" s="543">
        <f t="shared" si="21"/>
        <v>0</v>
      </c>
      <c r="J151" s="479">
        <f t="shared" si="22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5"/>
        <v/>
      </c>
      <c r="C152" s="473">
        <f>IF(D93="","-",+C151+1)</f>
        <v>2070</v>
      </c>
      <c r="D152" s="347">
        <f>IF(F151+SUM(E$99:E151)=D$92,F151,D$92-SUM(E$99:E151))</f>
        <v>0</v>
      </c>
      <c r="E152" s="485">
        <f t="shared" si="16"/>
        <v>0</v>
      </c>
      <c r="F152" s="486">
        <f t="shared" si="17"/>
        <v>0</v>
      </c>
      <c r="G152" s="486">
        <f t="shared" si="18"/>
        <v>0</v>
      </c>
      <c r="H152" s="487">
        <f t="shared" si="20"/>
        <v>0</v>
      </c>
      <c r="I152" s="543">
        <f t="shared" si="21"/>
        <v>0</v>
      </c>
      <c r="J152" s="479">
        <f t="shared" si="22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5"/>
        <v/>
      </c>
      <c r="C153" s="473">
        <f>IF(D93="","-",+C152+1)</f>
        <v>2071</v>
      </c>
      <c r="D153" s="347">
        <f>IF(F152+SUM(E$99:E152)=D$92,F152,D$92-SUM(E$99:E152))</f>
        <v>0</v>
      </c>
      <c r="E153" s="485">
        <f t="shared" si="16"/>
        <v>0</v>
      </c>
      <c r="F153" s="486">
        <f t="shared" si="17"/>
        <v>0</v>
      </c>
      <c r="G153" s="486">
        <f t="shared" si="18"/>
        <v>0</v>
      </c>
      <c r="H153" s="487">
        <f t="shared" si="20"/>
        <v>0</v>
      </c>
      <c r="I153" s="543">
        <f t="shared" si="21"/>
        <v>0</v>
      </c>
      <c r="J153" s="479">
        <f t="shared" si="22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5"/>
        <v/>
      </c>
      <c r="C154" s="490">
        <f>IF(D93="","-",+C153+1)</f>
        <v>2072</v>
      </c>
      <c r="D154" s="544">
        <f>IF(F153+SUM(E$99:E153)=D$92,F153,D$92-SUM(E$99:E153))</f>
        <v>0</v>
      </c>
      <c r="E154" s="492">
        <f t="shared" si="16"/>
        <v>0</v>
      </c>
      <c r="F154" s="491">
        <f t="shared" si="17"/>
        <v>0</v>
      </c>
      <c r="G154" s="491">
        <f t="shared" si="18"/>
        <v>0</v>
      </c>
      <c r="H154" s="614">
        <f t="shared" ref="H154" si="26">+J$94*G154+E154</f>
        <v>0</v>
      </c>
      <c r="I154" s="615">
        <f t="shared" si="19"/>
        <v>0</v>
      </c>
      <c r="J154" s="496">
        <f t="shared" si="22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1338978</v>
      </c>
      <c r="F155" s="348"/>
      <c r="G155" s="348"/>
      <c r="H155" s="348">
        <f>SUM(H99:H154)</f>
        <v>4595728.3032411328</v>
      </c>
      <c r="I155" s="348">
        <f>SUM(I99:I154)</f>
        <v>4595728.3032411328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P162"/>
  <sheetViews>
    <sheetView view="pageBreakPreview" topLeftCell="A67" zoomScale="78" zoomScaleNormal="100" zoomScaleSheetLayoutView="78" workbookViewId="0">
      <selection activeCell="D92" sqref="D92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20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246703.23209680832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246703.23209680832</v>
      </c>
      <c r="O6" s="233"/>
      <c r="P6" s="233"/>
    </row>
    <row r="7" spans="1:16" ht="13.5" thickBot="1">
      <c r="C7" s="432" t="s">
        <v>46</v>
      </c>
      <c r="D7" s="600" t="s">
        <v>282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298</v>
      </c>
      <c r="E9" s="578" t="s">
        <v>299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1961221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45609.79069767442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v>2017</v>
      </c>
      <c r="D17" s="585">
        <v>0</v>
      </c>
      <c r="E17" s="609">
        <v>0</v>
      </c>
      <c r="F17" s="585">
        <v>483000</v>
      </c>
      <c r="G17" s="609">
        <v>30733</v>
      </c>
      <c r="H17" s="588">
        <v>30733</v>
      </c>
      <c r="I17" s="476">
        <f t="shared" ref="I17:I72" si="0">H17-G17</f>
        <v>0</v>
      </c>
      <c r="J17" s="476"/>
      <c r="K17" s="478">
        <f>+G17</f>
        <v>30733</v>
      </c>
      <c r="L17" s="478">
        <f t="shared" ref="L17:L72" si="1">IF(K17&lt;&gt;0,+G17-K17,0)</f>
        <v>0</v>
      </c>
      <c r="M17" s="478">
        <f>+H17</f>
        <v>30733</v>
      </c>
      <c r="N17" s="478">
        <f t="shared" ref="N17:N72" si="2">IF(M17&lt;&gt;0,+H17-M17,0)</f>
        <v>0</v>
      </c>
      <c r="O17" s="479">
        <f t="shared" ref="O17:O72" si="3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2018</v>
      </c>
      <c r="D18" s="585">
        <v>0</v>
      </c>
      <c r="E18" s="586">
        <v>10555.555555555555</v>
      </c>
      <c r="F18" s="585">
        <v>1140000</v>
      </c>
      <c r="G18" s="586">
        <v>87696.739331146033</v>
      </c>
      <c r="H18" s="588">
        <v>87696.739331146033</v>
      </c>
      <c r="I18" s="476">
        <f t="shared" si="0"/>
        <v>0</v>
      </c>
      <c r="J18" s="476"/>
      <c r="K18" s="479">
        <f>+G18</f>
        <v>87696.739331146033</v>
      </c>
      <c r="L18" s="479">
        <f t="shared" si="1"/>
        <v>0</v>
      </c>
      <c r="M18" s="479">
        <f>+H18</f>
        <v>87696.739331146033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2019</v>
      </c>
      <c r="D19" s="585">
        <v>1129444.4444444445</v>
      </c>
      <c r="E19" s="586">
        <v>25333.333333333332</v>
      </c>
      <c r="F19" s="585">
        <v>1104111.1111111112</v>
      </c>
      <c r="G19" s="586">
        <v>176472.91191587914</v>
      </c>
      <c r="H19" s="588">
        <v>176472.91191587914</v>
      </c>
      <c r="I19" s="476">
        <f t="shared" si="0"/>
        <v>0</v>
      </c>
      <c r="J19" s="476"/>
      <c r="K19" s="479">
        <f>+G19</f>
        <v>176472.91191587914</v>
      </c>
      <c r="L19" s="479">
        <f t="shared" ref="L19" si="4">IF(K19&lt;&gt;0,+G19-K19,0)</f>
        <v>0</v>
      </c>
      <c r="M19" s="479">
        <f>+H19</f>
        <v>176472.91191587914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5">IF(D20=F19,"","IU")</f>
        <v>IU</v>
      </c>
      <c r="C20" s="473">
        <f>IF(D11="","-",+C19+1)</f>
        <v>2020</v>
      </c>
      <c r="D20" s="585">
        <v>1883840.111111111</v>
      </c>
      <c r="E20" s="586">
        <v>45707.833333333336</v>
      </c>
      <c r="F20" s="585">
        <v>1838132.2777777778</v>
      </c>
      <c r="G20" s="586">
        <v>246703.23209680832</v>
      </c>
      <c r="H20" s="588">
        <v>246703.23209680832</v>
      </c>
      <c r="I20" s="476">
        <f t="shared" si="0"/>
        <v>0</v>
      </c>
      <c r="J20" s="476"/>
      <c r="K20" s="479">
        <f>+G20</f>
        <v>246703.23209680832</v>
      </c>
      <c r="L20" s="479">
        <f t="shared" ref="L20" si="6">IF(K20&lt;&gt;0,+G20-K20,0)</f>
        <v>0</v>
      </c>
      <c r="M20" s="479">
        <f>+H20</f>
        <v>246703.23209680832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5"/>
        <v>IU</v>
      </c>
      <c r="C21" s="473">
        <f>IF(D11="","-",+C20+1)</f>
        <v>2021</v>
      </c>
      <c r="D21" s="484">
        <f>IF(F20+SUM(E$17:E20)=D$10,F20,D$10-SUM(E$17:E20))</f>
        <v>1879624.2777777778</v>
      </c>
      <c r="E21" s="485">
        <f t="shared" ref="E21:E72" si="7">IF(+I$14&lt;F20,I$14,D21)</f>
        <v>45609.79069767442</v>
      </c>
      <c r="F21" s="486">
        <f t="shared" ref="F21:F72" si="8">+D21-E21</f>
        <v>1834014.4870801033</v>
      </c>
      <c r="G21" s="487">
        <f t="shared" ref="G21:G72" si="9">(D21+F21)/2*I$12+E21</f>
        <v>259248.62407377787</v>
      </c>
      <c r="H21" s="456">
        <f t="shared" ref="H21:H72" si="10">+(D21+F21)/2*I$13+E21</f>
        <v>259248.62407377787</v>
      </c>
      <c r="I21" s="476">
        <f t="shared" si="0"/>
        <v>0</v>
      </c>
      <c r="J21" s="476"/>
      <c r="K21" s="488"/>
      <c r="L21" s="479">
        <f t="shared" si="1"/>
        <v>0</v>
      </c>
      <c r="M21" s="488"/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5"/>
        <v/>
      </c>
      <c r="C22" s="473">
        <f>IF(D11="","-",+C21+1)</f>
        <v>2022</v>
      </c>
      <c r="D22" s="484">
        <f>IF(F21+SUM(E$17:E21)=D$10,F21,D$10-SUM(E$17:E21))</f>
        <v>1834014.4870801033</v>
      </c>
      <c r="E22" s="485">
        <f t="shared" si="7"/>
        <v>45609.79069767442</v>
      </c>
      <c r="F22" s="486">
        <f t="shared" si="8"/>
        <v>1788404.6963824288</v>
      </c>
      <c r="G22" s="487">
        <f t="shared" si="9"/>
        <v>254000.92870427293</v>
      </c>
      <c r="H22" s="456">
        <f t="shared" si="10"/>
        <v>254000.92870427293</v>
      </c>
      <c r="I22" s="476">
        <f t="shared" si="0"/>
        <v>0</v>
      </c>
      <c r="J22" s="476"/>
      <c r="K22" s="488"/>
      <c r="L22" s="479">
        <f t="shared" si="1"/>
        <v>0</v>
      </c>
      <c r="M22" s="488"/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5"/>
        <v/>
      </c>
      <c r="C23" s="473">
        <f>IF(D11="","-",+C22+1)</f>
        <v>2023</v>
      </c>
      <c r="D23" s="484">
        <f>IF(F22+SUM(E$17:E22)=D$10,F22,D$10-SUM(E$17:E22))</f>
        <v>1788404.6963824288</v>
      </c>
      <c r="E23" s="485">
        <f t="shared" si="7"/>
        <v>45609.79069767442</v>
      </c>
      <c r="F23" s="486">
        <f t="shared" si="8"/>
        <v>1742794.9056847543</v>
      </c>
      <c r="G23" s="487">
        <f t="shared" si="9"/>
        <v>248753.23333476792</v>
      </c>
      <c r="H23" s="456">
        <f t="shared" si="10"/>
        <v>248753.23333476792</v>
      </c>
      <c r="I23" s="476">
        <f t="shared" si="0"/>
        <v>0</v>
      </c>
      <c r="J23" s="476"/>
      <c r="K23" s="488"/>
      <c r="L23" s="479">
        <f t="shared" si="1"/>
        <v>0</v>
      </c>
      <c r="M23" s="488"/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5"/>
        <v/>
      </c>
      <c r="C24" s="473">
        <f>IF(D11="","-",+C23+1)</f>
        <v>2024</v>
      </c>
      <c r="D24" s="484">
        <f>IF(F23+SUM(E$17:E23)=D$10,F23,D$10-SUM(E$17:E23))</f>
        <v>1742794.9056847543</v>
      </c>
      <c r="E24" s="485">
        <f t="shared" si="7"/>
        <v>45609.79069767442</v>
      </c>
      <c r="F24" s="486">
        <f t="shared" si="8"/>
        <v>1697185.1149870798</v>
      </c>
      <c r="G24" s="487">
        <f t="shared" si="9"/>
        <v>243505.53796526298</v>
      </c>
      <c r="H24" s="456">
        <f t="shared" si="10"/>
        <v>243505.53796526298</v>
      </c>
      <c r="I24" s="476">
        <f t="shared" si="0"/>
        <v>0</v>
      </c>
      <c r="J24" s="476"/>
      <c r="K24" s="488"/>
      <c r="L24" s="479">
        <f t="shared" si="1"/>
        <v>0</v>
      </c>
      <c r="M24" s="488"/>
      <c r="N24" s="479">
        <f t="shared" si="2"/>
        <v>0</v>
      </c>
      <c r="O24" s="479">
        <f t="shared" si="3"/>
        <v>0</v>
      </c>
      <c r="P24" s="243"/>
    </row>
    <row r="25" spans="2:16" ht="12.5">
      <c r="B25" s="160" t="str">
        <f t="shared" si="5"/>
        <v/>
      </c>
      <c r="C25" s="473">
        <f>IF(D11="","-",+C24+1)</f>
        <v>2025</v>
      </c>
      <c r="D25" s="484">
        <f>IF(F24+SUM(E$17:E24)=D$10,F24,D$10-SUM(E$17:E24))</f>
        <v>1697185.1149870798</v>
      </c>
      <c r="E25" s="485">
        <f t="shared" si="7"/>
        <v>45609.79069767442</v>
      </c>
      <c r="F25" s="486">
        <f t="shared" si="8"/>
        <v>1651575.3242894053</v>
      </c>
      <c r="G25" s="487">
        <f t="shared" si="9"/>
        <v>238257.84259575797</v>
      </c>
      <c r="H25" s="456">
        <f t="shared" si="10"/>
        <v>238257.84259575797</v>
      </c>
      <c r="I25" s="476">
        <f t="shared" si="0"/>
        <v>0</v>
      </c>
      <c r="J25" s="476"/>
      <c r="K25" s="488"/>
      <c r="L25" s="479">
        <f t="shared" si="1"/>
        <v>0</v>
      </c>
      <c r="M25" s="488"/>
      <c r="N25" s="479">
        <f t="shared" si="2"/>
        <v>0</v>
      </c>
      <c r="O25" s="479">
        <f t="shared" si="3"/>
        <v>0</v>
      </c>
      <c r="P25" s="243"/>
    </row>
    <row r="26" spans="2:16" ht="12.5">
      <c r="B26" s="160" t="str">
        <f t="shared" si="5"/>
        <v/>
      </c>
      <c r="C26" s="473">
        <f>IF(D11="","-",+C25+1)</f>
        <v>2026</v>
      </c>
      <c r="D26" s="484">
        <f>IF(F25+SUM(E$17:E25)=D$10,F25,D$10-SUM(E$17:E25))</f>
        <v>1651575.3242894053</v>
      </c>
      <c r="E26" s="485">
        <f t="shared" si="7"/>
        <v>45609.79069767442</v>
      </c>
      <c r="F26" s="486">
        <f t="shared" si="8"/>
        <v>1605965.5335917308</v>
      </c>
      <c r="G26" s="487">
        <f t="shared" si="9"/>
        <v>233010.14722625303</v>
      </c>
      <c r="H26" s="456">
        <f t="shared" si="10"/>
        <v>233010.14722625303</v>
      </c>
      <c r="I26" s="476">
        <f t="shared" si="0"/>
        <v>0</v>
      </c>
      <c r="J26" s="476"/>
      <c r="K26" s="488"/>
      <c r="L26" s="479">
        <f t="shared" si="1"/>
        <v>0</v>
      </c>
      <c r="M26" s="488"/>
      <c r="N26" s="479">
        <f t="shared" si="2"/>
        <v>0</v>
      </c>
      <c r="O26" s="479">
        <f t="shared" si="3"/>
        <v>0</v>
      </c>
      <c r="P26" s="243"/>
    </row>
    <row r="27" spans="2:16" ht="12.5">
      <c r="B27" s="160" t="str">
        <f t="shared" si="5"/>
        <v/>
      </c>
      <c r="C27" s="473">
        <f>IF(D11="","-",+C26+1)</f>
        <v>2027</v>
      </c>
      <c r="D27" s="484">
        <f>IF(F26+SUM(E$17:E26)=D$10,F26,D$10-SUM(E$17:E26))</f>
        <v>1605965.5335917308</v>
      </c>
      <c r="E27" s="485">
        <f t="shared" si="7"/>
        <v>45609.79069767442</v>
      </c>
      <c r="F27" s="486">
        <f t="shared" si="8"/>
        <v>1560355.7428940563</v>
      </c>
      <c r="G27" s="487">
        <f t="shared" si="9"/>
        <v>227762.45185674803</v>
      </c>
      <c r="H27" s="456">
        <f t="shared" si="10"/>
        <v>227762.45185674803</v>
      </c>
      <c r="I27" s="476">
        <f t="shared" si="0"/>
        <v>0</v>
      </c>
      <c r="J27" s="476"/>
      <c r="K27" s="488"/>
      <c r="L27" s="479">
        <f t="shared" si="1"/>
        <v>0</v>
      </c>
      <c r="M27" s="488"/>
      <c r="N27" s="479">
        <f t="shared" si="2"/>
        <v>0</v>
      </c>
      <c r="O27" s="479">
        <f t="shared" si="3"/>
        <v>0</v>
      </c>
      <c r="P27" s="243"/>
    </row>
    <row r="28" spans="2:16" ht="12.5">
      <c r="B28" s="160" t="str">
        <f t="shared" si="5"/>
        <v/>
      </c>
      <c r="C28" s="473">
        <f>IF(D11="","-",+C27+1)</f>
        <v>2028</v>
      </c>
      <c r="D28" s="484">
        <f>IF(F27+SUM(E$17:E27)=D$10,F27,D$10-SUM(E$17:E27))</f>
        <v>1560355.7428940563</v>
      </c>
      <c r="E28" s="485">
        <f t="shared" si="7"/>
        <v>45609.79069767442</v>
      </c>
      <c r="F28" s="486">
        <f t="shared" si="8"/>
        <v>1514745.9521963818</v>
      </c>
      <c r="G28" s="487">
        <f t="shared" si="9"/>
        <v>222514.75648724308</v>
      </c>
      <c r="H28" s="456">
        <f t="shared" si="10"/>
        <v>222514.75648724308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5"/>
        <v/>
      </c>
      <c r="C29" s="473">
        <f>IF(D11="","-",+C28+1)</f>
        <v>2029</v>
      </c>
      <c r="D29" s="484">
        <f>IF(F28+SUM(E$17:E28)=D$10,F28,D$10-SUM(E$17:E28))</f>
        <v>1514745.9521963818</v>
      </c>
      <c r="E29" s="485">
        <f t="shared" si="7"/>
        <v>45609.79069767442</v>
      </c>
      <c r="F29" s="486">
        <f t="shared" si="8"/>
        <v>1469136.1614987073</v>
      </c>
      <c r="G29" s="487">
        <f t="shared" si="9"/>
        <v>217267.06111773808</v>
      </c>
      <c r="H29" s="456">
        <f t="shared" si="10"/>
        <v>217267.06111773808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5"/>
        <v/>
      </c>
      <c r="C30" s="473">
        <f>IF(D11="","-",+C29+1)</f>
        <v>2030</v>
      </c>
      <c r="D30" s="484">
        <f>IF(F29+SUM(E$17:E29)=D$10,F29,D$10-SUM(E$17:E29))</f>
        <v>1469136.1614987073</v>
      </c>
      <c r="E30" s="485">
        <f t="shared" si="7"/>
        <v>45609.79069767442</v>
      </c>
      <c r="F30" s="486">
        <f t="shared" si="8"/>
        <v>1423526.3708010328</v>
      </c>
      <c r="G30" s="487">
        <f t="shared" si="9"/>
        <v>212019.36574823313</v>
      </c>
      <c r="H30" s="456">
        <f t="shared" si="10"/>
        <v>212019.36574823313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5"/>
        <v/>
      </c>
      <c r="C31" s="473">
        <f>IF(D11="","-",+C30+1)</f>
        <v>2031</v>
      </c>
      <c r="D31" s="484">
        <f>IF(F30+SUM(E$17:E30)=D$10,F30,D$10-SUM(E$17:E30))</f>
        <v>1423526.3708010328</v>
      </c>
      <c r="E31" s="485">
        <f t="shared" si="7"/>
        <v>45609.79069767442</v>
      </c>
      <c r="F31" s="486">
        <f t="shared" si="8"/>
        <v>1377916.5801033583</v>
      </c>
      <c r="G31" s="487">
        <f t="shared" si="9"/>
        <v>206771.67037872813</v>
      </c>
      <c r="H31" s="456">
        <f t="shared" si="10"/>
        <v>206771.67037872813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5"/>
        <v/>
      </c>
      <c r="C32" s="473">
        <f>IF(D11="","-",+C31+1)</f>
        <v>2032</v>
      </c>
      <c r="D32" s="484">
        <f>IF(F31+SUM(E$17:E31)=D$10,F31,D$10-SUM(E$17:E31))</f>
        <v>1377916.5801033583</v>
      </c>
      <c r="E32" s="485">
        <f t="shared" si="7"/>
        <v>45609.79069767442</v>
      </c>
      <c r="F32" s="486">
        <f t="shared" si="8"/>
        <v>1332306.7894056838</v>
      </c>
      <c r="G32" s="487">
        <f t="shared" si="9"/>
        <v>201523.97500922318</v>
      </c>
      <c r="H32" s="456">
        <f t="shared" si="10"/>
        <v>201523.97500922318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5"/>
        <v/>
      </c>
      <c r="C33" s="473">
        <f>IF(D11="","-",+C32+1)</f>
        <v>2033</v>
      </c>
      <c r="D33" s="484">
        <f>IF(F32+SUM(E$17:E32)=D$10,F32,D$10-SUM(E$17:E32))</f>
        <v>1332306.7894056838</v>
      </c>
      <c r="E33" s="485">
        <f t="shared" si="7"/>
        <v>45609.79069767442</v>
      </c>
      <c r="F33" s="486">
        <f t="shared" si="8"/>
        <v>1286696.9987080093</v>
      </c>
      <c r="G33" s="487">
        <f t="shared" si="9"/>
        <v>196276.27963971818</v>
      </c>
      <c r="H33" s="456">
        <f t="shared" si="10"/>
        <v>196276.27963971818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5"/>
        <v/>
      </c>
      <c r="C34" s="473">
        <f>IF(D11="","-",+C33+1)</f>
        <v>2034</v>
      </c>
      <c r="D34" s="484">
        <f>IF(F33+SUM(E$17:E33)=D$10,F33,D$10-SUM(E$17:E33))</f>
        <v>1286696.9987080093</v>
      </c>
      <c r="E34" s="485">
        <f t="shared" si="7"/>
        <v>45609.79069767442</v>
      </c>
      <c r="F34" s="486">
        <f t="shared" si="8"/>
        <v>1241087.2080103348</v>
      </c>
      <c r="G34" s="487">
        <f t="shared" si="9"/>
        <v>191028.58427021324</v>
      </c>
      <c r="H34" s="456">
        <f t="shared" si="10"/>
        <v>191028.58427021324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5"/>
        <v/>
      </c>
      <c r="C35" s="473">
        <f>IF(D11="","-",+C34+1)</f>
        <v>2035</v>
      </c>
      <c r="D35" s="484">
        <f>IF(F34+SUM(E$17:E34)=D$10,F34,D$10-SUM(E$17:E34))</f>
        <v>1241087.2080103348</v>
      </c>
      <c r="E35" s="485">
        <f t="shared" si="7"/>
        <v>45609.79069767442</v>
      </c>
      <c r="F35" s="486">
        <f t="shared" si="8"/>
        <v>1195477.4173126603</v>
      </c>
      <c r="G35" s="487">
        <f t="shared" si="9"/>
        <v>185780.88890070823</v>
      </c>
      <c r="H35" s="456">
        <f t="shared" si="10"/>
        <v>185780.88890070823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5"/>
        <v/>
      </c>
      <c r="C36" s="473">
        <f>IF(D11="","-",+C35+1)</f>
        <v>2036</v>
      </c>
      <c r="D36" s="484">
        <f>IF(F35+SUM(E$17:E35)=D$10,F35,D$10-SUM(E$17:E35))</f>
        <v>1195477.4173126603</v>
      </c>
      <c r="E36" s="485">
        <f t="shared" si="7"/>
        <v>45609.79069767442</v>
      </c>
      <c r="F36" s="486">
        <f t="shared" si="8"/>
        <v>1149867.6266149858</v>
      </c>
      <c r="G36" s="487">
        <f t="shared" si="9"/>
        <v>180533.19353120329</v>
      </c>
      <c r="H36" s="456">
        <f t="shared" si="10"/>
        <v>180533.19353120329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5"/>
        <v/>
      </c>
      <c r="C37" s="473">
        <f>IF(D11="","-",+C36+1)</f>
        <v>2037</v>
      </c>
      <c r="D37" s="484">
        <f>IF(F36+SUM(E$17:E36)=D$10,F36,D$10-SUM(E$17:E36))</f>
        <v>1149867.6266149858</v>
      </c>
      <c r="E37" s="485">
        <f t="shared" si="7"/>
        <v>45609.79069767442</v>
      </c>
      <c r="F37" s="486">
        <f t="shared" si="8"/>
        <v>1104257.8359173113</v>
      </c>
      <c r="G37" s="487">
        <f t="shared" si="9"/>
        <v>175285.49816169828</v>
      </c>
      <c r="H37" s="456">
        <f t="shared" si="10"/>
        <v>175285.49816169828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5"/>
        <v/>
      </c>
      <c r="C38" s="473">
        <f>IF(D11="","-",+C37+1)</f>
        <v>2038</v>
      </c>
      <c r="D38" s="484">
        <f>IF(F37+SUM(E$17:E37)=D$10,F37,D$10-SUM(E$17:E37))</f>
        <v>1104257.8359173113</v>
      </c>
      <c r="E38" s="485">
        <f t="shared" si="7"/>
        <v>45609.79069767442</v>
      </c>
      <c r="F38" s="486">
        <f t="shared" si="8"/>
        <v>1058648.0452196368</v>
      </c>
      <c r="G38" s="487">
        <f t="shared" si="9"/>
        <v>170037.80279219334</v>
      </c>
      <c r="H38" s="456">
        <f t="shared" si="10"/>
        <v>170037.80279219334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5"/>
        <v/>
      </c>
      <c r="C39" s="473">
        <f>IF(D11="","-",+C38+1)</f>
        <v>2039</v>
      </c>
      <c r="D39" s="484">
        <f>IF(F38+SUM(E$17:E38)=D$10,F38,D$10-SUM(E$17:E38))</f>
        <v>1058648.0452196368</v>
      </c>
      <c r="E39" s="485">
        <f t="shared" si="7"/>
        <v>45609.79069767442</v>
      </c>
      <c r="F39" s="486">
        <f t="shared" si="8"/>
        <v>1013038.2545219624</v>
      </c>
      <c r="G39" s="487">
        <f t="shared" si="9"/>
        <v>164790.10742268836</v>
      </c>
      <c r="H39" s="456">
        <f t="shared" si="10"/>
        <v>164790.10742268836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5"/>
        <v/>
      </c>
      <c r="C40" s="473">
        <f>IF(D11="","-",+C39+1)</f>
        <v>2040</v>
      </c>
      <c r="D40" s="484">
        <f>IF(F39+SUM(E$17:E39)=D$10,F39,D$10-SUM(E$17:E39))</f>
        <v>1013038.2545219624</v>
      </c>
      <c r="E40" s="485">
        <f t="shared" si="7"/>
        <v>45609.79069767442</v>
      </c>
      <c r="F40" s="486">
        <f t="shared" si="8"/>
        <v>967428.46382428799</v>
      </c>
      <c r="G40" s="487">
        <f t="shared" si="9"/>
        <v>159542.41205318339</v>
      </c>
      <c r="H40" s="456">
        <f t="shared" si="10"/>
        <v>159542.41205318339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5"/>
        <v/>
      </c>
      <c r="C41" s="473">
        <f>IF(D11="","-",+C40+1)</f>
        <v>2041</v>
      </c>
      <c r="D41" s="484">
        <f>IF(F40+SUM(E$17:E40)=D$10,F40,D$10-SUM(E$17:E40))</f>
        <v>967428.46382428799</v>
      </c>
      <c r="E41" s="485">
        <f t="shared" si="7"/>
        <v>45609.79069767442</v>
      </c>
      <c r="F41" s="486">
        <f t="shared" si="8"/>
        <v>921818.6731266136</v>
      </c>
      <c r="G41" s="487">
        <f t="shared" si="9"/>
        <v>154294.71668367845</v>
      </c>
      <c r="H41" s="456">
        <f t="shared" si="10"/>
        <v>154294.71668367845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5"/>
        <v/>
      </c>
      <c r="C42" s="473">
        <f>IF(D11="","-",+C41+1)</f>
        <v>2042</v>
      </c>
      <c r="D42" s="484">
        <f>IF(F41+SUM(E$17:E41)=D$10,F41,D$10-SUM(E$17:E41))</f>
        <v>921818.6731266136</v>
      </c>
      <c r="E42" s="485">
        <f t="shared" si="7"/>
        <v>45609.79069767442</v>
      </c>
      <c r="F42" s="486">
        <f t="shared" si="8"/>
        <v>876208.88242893922</v>
      </c>
      <c r="G42" s="487">
        <f t="shared" si="9"/>
        <v>149047.02131417347</v>
      </c>
      <c r="H42" s="456">
        <f t="shared" si="10"/>
        <v>149047.02131417347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5"/>
        <v/>
      </c>
      <c r="C43" s="473">
        <f>IF(D11="","-",+C42+1)</f>
        <v>2043</v>
      </c>
      <c r="D43" s="484">
        <f>IF(F42+SUM(E$17:E42)=D$10,F42,D$10-SUM(E$17:E42))</f>
        <v>876208.88242893922</v>
      </c>
      <c r="E43" s="485">
        <f t="shared" si="7"/>
        <v>45609.79069767442</v>
      </c>
      <c r="F43" s="486">
        <f t="shared" si="8"/>
        <v>830599.09173126484</v>
      </c>
      <c r="G43" s="487">
        <f t="shared" si="9"/>
        <v>143799.32594466853</v>
      </c>
      <c r="H43" s="456">
        <f t="shared" si="10"/>
        <v>143799.32594466853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5"/>
        <v/>
      </c>
      <c r="C44" s="473">
        <f>IF(D11="","-",+C43+1)</f>
        <v>2044</v>
      </c>
      <c r="D44" s="484">
        <f>IF(F43+SUM(E$17:E43)=D$10,F43,D$10-SUM(E$17:E43))</f>
        <v>830599.09173126484</v>
      </c>
      <c r="E44" s="485">
        <f t="shared" si="7"/>
        <v>45609.79069767442</v>
      </c>
      <c r="F44" s="486">
        <f t="shared" si="8"/>
        <v>784989.30103359045</v>
      </c>
      <c r="G44" s="487">
        <f t="shared" si="9"/>
        <v>138551.63057516355</v>
      </c>
      <c r="H44" s="456">
        <f t="shared" si="10"/>
        <v>138551.63057516355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5"/>
        <v/>
      </c>
      <c r="C45" s="473">
        <f>IF(D11="","-",+C44+1)</f>
        <v>2045</v>
      </c>
      <c r="D45" s="484">
        <f>IF(F44+SUM(E$17:E44)=D$10,F44,D$10-SUM(E$17:E44))</f>
        <v>784989.30103359045</v>
      </c>
      <c r="E45" s="485">
        <f t="shared" si="7"/>
        <v>45609.79069767442</v>
      </c>
      <c r="F45" s="486">
        <f t="shared" si="8"/>
        <v>739379.51033591607</v>
      </c>
      <c r="G45" s="487">
        <f t="shared" si="9"/>
        <v>133303.93520565861</v>
      </c>
      <c r="H45" s="456">
        <f t="shared" si="10"/>
        <v>133303.93520565861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5"/>
        <v/>
      </c>
      <c r="C46" s="473">
        <f>IF(D11="","-",+C45+1)</f>
        <v>2046</v>
      </c>
      <c r="D46" s="484">
        <f>IF(F45+SUM(E$17:E45)=D$10,F45,D$10-SUM(E$17:E45))</f>
        <v>739379.51033591607</v>
      </c>
      <c r="E46" s="485">
        <f t="shared" si="7"/>
        <v>45609.79069767442</v>
      </c>
      <c r="F46" s="486">
        <f t="shared" si="8"/>
        <v>693769.71963824169</v>
      </c>
      <c r="G46" s="487">
        <f t="shared" si="9"/>
        <v>128056.23983615363</v>
      </c>
      <c r="H46" s="456">
        <f t="shared" si="10"/>
        <v>128056.23983615363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5"/>
        <v/>
      </c>
      <c r="C47" s="473">
        <f>IF(D11="","-",+C46+1)</f>
        <v>2047</v>
      </c>
      <c r="D47" s="484">
        <f>IF(F46+SUM(E$17:E46)=D$10,F46,D$10-SUM(E$17:E46))</f>
        <v>693769.71963824169</v>
      </c>
      <c r="E47" s="485">
        <f t="shared" si="7"/>
        <v>45609.79069767442</v>
      </c>
      <c r="F47" s="486">
        <f t="shared" si="8"/>
        <v>648159.9289405673</v>
      </c>
      <c r="G47" s="487">
        <f t="shared" si="9"/>
        <v>122808.54446664869</v>
      </c>
      <c r="H47" s="456">
        <f t="shared" si="10"/>
        <v>122808.54446664869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5"/>
        <v/>
      </c>
      <c r="C48" s="473">
        <f>IF(D11="","-",+C47+1)</f>
        <v>2048</v>
      </c>
      <c r="D48" s="484">
        <f>IF(F47+SUM(E$17:E47)=D$10,F47,D$10-SUM(E$17:E47))</f>
        <v>648159.9289405673</v>
      </c>
      <c r="E48" s="485">
        <f t="shared" si="7"/>
        <v>45609.79069767442</v>
      </c>
      <c r="F48" s="486">
        <f t="shared" si="8"/>
        <v>602550.13824289292</v>
      </c>
      <c r="G48" s="487">
        <f t="shared" si="9"/>
        <v>117560.84909714371</v>
      </c>
      <c r="H48" s="456">
        <f t="shared" si="10"/>
        <v>117560.84909714371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5"/>
        <v/>
      </c>
      <c r="C49" s="473">
        <f>IF(D11="","-",+C48+1)</f>
        <v>2049</v>
      </c>
      <c r="D49" s="484">
        <f>IF(F48+SUM(E$17:E48)=D$10,F48,D$10-SUM(E$17:E48))</f>
        <v>602550.13824289292</v>
      </c>
      <c r="E49" s="485">
        <f t="shared" si="7"/>
        <v>45609.79069767442</v>
      </c>
      <c r="F49" s="486">
        <f t="shared" si="8"/>
        <v>556940.34754521854</v>
      </c>
      <c r="G49" s="487">
        <f t="shared" si="9"/>
        <v>112313.15372763877</v>
      </c>
      <c r="H49" s="456">
        <f t="shared" si="10"/>
        <v>112313.15372763877</v>
      </c>
      <c r="I49" s="476">
        <f t="shared" si="0"/>
        <v>0</v>
      </c>
      <c r="J49" s="476"/>
      <c r="K49" s="488"/>
      <c r="L49" s="479">
        <f t="shared" si="1"/>
        <v>0</v>
      </c>
      <c r="M49" s="488"/>
      <c r="N49" s="479">
        <f t="shared" si="2"/>
        <v>0</v>
      </c>
      <c r="O49" s="479">
        <f t="shared" si="3"/>
        <v>0</v>
      </c>
      <c r="P49" s="243"/>
    </row>
    <row r="50" spans="2:16" ht="12.5">
      <c r="B50" s="160" t="str">
        <f t="shared" si="5"/>
        <v/>
      </c>
      <c r="C50" s="473">
        <f>IF(D11="","-",+C49+1)</f>
        <v>2050</v>
      </c>
      <c r="D50" s="484">
        <f>IF(F49+SUM(E$17:E49)=D$10,F49,D$10-SUM(E$17:E49))</f>
        <v>556940.34754521854</v>
      </c>
      <c r="E50" s="485">
        <f t="shared" si="7"/>
        <v>45609.79069767442</v>
      </c>
      <c r="F50" s="486">
        <f t="shared" si="8"/>
        <v>511330.5568475441</v>
      </c>
      <c r="G50" s="487">
        <f t="shared" si="9"/>
        <v>107065.45835813379</v>
      </c>
      <c r="H50" s="456">
        <f t="shared" si="10"/>
        <v>107065.45835813379</v>
      </c>
      <c r="I50" s="476">
        <f t="shared" si="0"/>
        <v>0</v>
      </c>
      <c r="J50" s="476"/>
      <c r="K50" s="488"/>
      <c r="L50" s="479">
        <f t="shared" si="1"/>
        <v>0</v>
      </c>
      <c r="M50" s="488"/>
      <c r="N50" s="479">
        <f t="shared" si="2"/>
        <v>0</v>
      </c>
      <c r="O50" s="479">
        <f t="shared" si="3"/>
        <v>0</v>
      </c>
      <c r="P50" s="243"/>
    </row>
    <row r="51" spans="2:16" ht="12.5">
      <c r="B51" s="160" t="str">
        <f t="shared" si="5"/>
        <v/>
      </c>
      <c r="C51" s="473">
        <f>IF(D11="","-",+C50+1)</f>
        <v>2051</v>
      </c>
      <c r="D51" s="484">
        <f>IF(F50+SUM(E$17:E50)=D$10,F50,D$10-SUM(E$17:E50))</f>
        <v>511330.5568475441</v>
      </c>
      <c r="E51" s="485">
        <f t="shared" si="7"/>
        <v>45609.79069767442</v>
      </c>
      <c r="F51" s="486">
        <f t="shared" si="8"/>
        <v>465720.76614986965</v>
      </c>
      <c r="G51" s="487">
        <f t="shared" si="9"/>
        <v>101817.76298862882</v>
      </c>
      <c r="H51" s="456">
        <f t="shared" si="10"/>
        <v>101817.76298862882</v>
      </c>
      <c r="I51" s="476">
        <f t="shared" si="0"/>
        <v>0</v>
      </c>
      <c r="J51" s="476"/>
      <c r="K51" s="488"/>
      <c r="L51" s="479">
        <f t="shared" si="1"/>
        <v>0</v>
      </c>
      <c r="M51" s="488"/>
      <c r="N51" s="479">
        <f t="shared" si="2"/>
        <v>0</v>
      </c>
      <c r="O51" s="479">
        <f t="shared" si="3"/>
        <v>0</v>
      </c>
      <c r="P51" s="243"/>
    </row>
    <row r="52" spans="2:16" ht="12.5">
      <c r="B52" s="160" t="str">
        <f t="shared" si="5"/>
        <v/>
      </c>
      <c r="C52" s="473">
        <f>IF(D11="","-",+C51+1)</f>
        <v>2052</v>
      </c>
      <c r="D52" s="484">
        <f>IF(F51+SUM(E$17:E51)=D$10,F51,D$10-SUM(E$17:E51))</f>
        <v>465720.76614986965</v>
      </c>
      <c r="E52" s="485">
        <f t="shared" si="7"/>
        <v>45609.79069767442</v>
      </c>
      <c r="F52" s="486">
        <f t="shared" si="8"/>
        <v>420110.97545219521</v>
      </c>
      <c r="G52" s="487">
        <f t="shared" si="9"/>
        <v>96570.06761912386</v>
      </c>
      <c r="H52" s="456">
        <f t="shared" si="10"/>
        <v>96570.06761912386</v>
      </c>
      <c r="I52" s="476">
        <f t="shared" si="0"/>
        <v>0</v>
      </c>
      <c r="J52" s="476"/>
      <c r="K52" s="488"/>
      <c r="L52" s="479">
        <f t="shared" si="1"/>
        <v>0</v>
      </c>
      <c r="M52" s="488"/>
      <c r="N52" s="479">
        <f t="shared" si="2"/>
        <v>0</v>
      </c>
      <c r="O52" s="479">
        <f t="shared" si="3"/>
        <v>0</v>
      </c>
      <c r="P52" s="243"/>
    </row>
    <row r="53" spans="2:16" ht="12.5">
      <c r="B53" s="160" t="str">
        <f t="shared" si="5"/>
        <v/>
      </c>
      <c r="C53" s="473">
        <f>IF(D11="","-",+C52+1)</f>
        <v>2053</v>
      </c>
      <c r="D53" s="484">
        <f>IF(F52+SUM(E$17:E52)=D$10,F52,D$10-SUM(E$17:E52))</f>
        <v>420110.97545219521</v>
      </c>
      <c r="E53" s="485">
        <f t="shared" si="7"/>
        <v>45609.79069767442</v>
      </c>
      <c r="F53" s="486">
        <f t="shared" si="8"/>
        <v>374501.18475452077</v>
      </c>
      <c r="G53" s="487">
        <f t="shared" si="9"/>
        <v>91322.3722496189</v>
      </c>
      <c r="H53" s="456">
        <f t="shared" si="10"/>
        <v>91322.3722496189</v>
      </c>
      <c r="I53" s="476">
        <f t="shared" si="0"/>
        <v>0</v>
      </c>
      <c r="J53" s="476"/>
      <c r="K53" s="488"/>
      <c r="L53" s="479">
        <f t="shared" si="1"/>
        <v>0</v>
      </c>
      <c r="M53" s="488"/>
      <c r="N53" s="479">
        <f t="shared" si="2"/>
        <v>0</v>
      </c>
      <c r="O53" s="479">
        <f t="shared" si="3"/>
        <v>0</v>
      </c>
      <c r="P53" s="243"/>
    </row>
    <row r="54" spans="2:16" ht="12.5">
      <c r="B54" s="160" t="str">
        <f t="shared" si="5"/>
        <v/>
      </c>
      <c r="C54" s="473">
        <f>IF(D11="","-",+C53+1)</f>
        <v>2054</v>
      </c>
      <c r="D54" s="484">
        <f>IF(F53+SUM(E$17:E53)=D$10,F53,D$10-SUM(E$17:E53))</f>
        <v>374501.18475452077</v>
      </c>
      <c r="E54" s="485">
        <f t="shared" si="7"/>
        <v>45609.79069767442</v>
      </c>
      <c r="F54" s="486">
        <f t="shared" si="8"/>
        <v>328891.39405684633</v>
      </c>
      <c r="G54" s="487">
        <f t="shared" si="9"/>
        <v>86074.676880113926</v>
      </c>
      <c r="H54" s="456">
        <f t="shared" si="10"/>
        <v>86074.676880113926</v>
      </c>
      <c r="I54" s="476">
        <f t="shared" si="0"/>
        <v>0</v>
      </c>
      <c r="J54" s="476"/>
      <c r="K54" s="488"/>
      <c r="L54" s="479">
        <f t="shared" si="1"/>
        <v>0</v>
      </c>
      <c r="M54" s="488"/>
      <c r="N54" s="479">
        <f t="shared" si="2"/>
        <v>0</v>
      </c>
      <c r="O54" s="479">
        <f t="shared" si="3"/>
        <v>0</v>
      </c>
      <c r="P54" s="243"/>
    </row>
    <row r="55" spans="2:16" ht="12.5">
      <c r="B55" s="160" t="str">
        <f t="shared" si="5"/>
        <v/>
      </c>
      <c r="C55" s="473">
        <f>IF(D11="","-",+C54+1)</f>
        <v>2055</v>
      </c>
      <c r="D55" s="484">
        <f>IF(F54+SUM(E$17:E54)=D$10,F54,D$10-SUM(E$17:E54))</f>
        <v>328891.39405684633</v>
      </c>
      <c r="E55" s="485">
        <f t="shared" si="7"/>
        <v>45609.79069767442</v>
      </c>
      <c r="F55" s="486">
        <f t="shared" si="8"/>
        <v>283281.60335917189</v>
      </c>
      <c r="G55" s="487">
        <f t="shared" si="9"/>
        <v>80826.981510608952</v>
      </c>
      <c r="H55" s="456">
        <f t="shared" si="10"/>
        <v>80826.981510608952</v>
      </c>
      <c r="I55" s="476">
        <f t="shared" si="0"/>
        <v>0</v>
      </c>
      <c r="J55" s="476"/>
      <c r="K55" s="488"/>
      <c r="L55" s="479">
        <f t="shared" si="1"/>
        <v>0</v>
      </c>
      <c r="M55" s="488"/>
      <c r="N55" s="479">
        <f t="shared" si="2"/>
        <v>0</v>
      </c>
      <c r="O55" s="479">
        <f t="shared" si="3"/>
        <v>0</v>
      </c>
      <c r="P55" s="243"/>
    </row>
    <row r="56" spans="2:16" ht="12.5">
      <c r="B56" s="160" t="str">
        <f t="shared" si="5"/>
        <v/>
      </c>
      <c r="C56" s="473">
        <f>IF(D11="","-",+C55+1)</f>
        <v>2056</v>
      </c>
      <c r="D56" s="484">
        <f>IF(F55+SUM(E$17:E55)=D$10,F55,D$10-SUM(E$17:E55))</f>
        <v>283281.60335917189</v>
      </c>
      <c r="E56" s="485">
        <f t="shared" si="7"/>
        <v>45609.79069767442</v>
      </c>
      <c r="F56" s="486">
        <f t="shared" si="8"/>
        <v>237671.81266149748</v>
      </c>
      <c r="G56" s="487">
        <f t="shared" si="9"/>
        <v>75579.286141103992</v>
      </c>
      <c r="H56" s="456">
        <f t="shared" si="10"/>
        <v>75579.286141103992</v>
      </c>
      <c r="I56" s="476">
        <f t="shared" si="0"/>
        <v>0</v>
      </c>
      <c r="J56" s="476"/>
      <c r="K56" s="488"/>
      <c r="L56" s="479">
        <f t="shared" si="1"/>
        <v>0</v>
      </c>
      <c r="M56" s="488"/>
      <c r="N56" s="479">
        <f t="shared" si="2"/>
        <v>0</v>
      </c>
      <c r="O56" s="479">
        <f t="shared" si="3"/>
        <v>0</v>
      </c>
      <c r="P56" s="243"/>
    </row>
    <row r="57" spans="2:16" ht="12.5">
      <c r="B57" s="160" t="str">
        <f t="shared" si="5"/>
        <v/>
      </c>
      <c r="C57" s="473">
        <f>IF(D11="","-",+C56+1)</f>
        <v>2057</v>
      </c>
      <c r="D57" s="484">
        <f>IF(F56+SUM(E$17:E56)=D$10,F56,D$10-SUM(E$17:E56))</f>
        <v>237671.81266149748</v>
      </c>
      <c r="E57" s="485">
        <f t="shared" si="7"/>
        <v>45609.79069767442</v>
      </c>
      <c r="F57" s="486">
        <f t="shared" si="8"/>
        <v>192062.02196382306</v>
      </c>
      <c r="G57" s="487">
        <f t="shared" si="9"/>
        <v>70331.590771599032</v>
      </c>
      <c r="H57" s="456">
        <f t="shared" si="10"/>
        <v>70331.590771599032</v>
      </c>
      <c r="I57" s="476">
        <f t="shared" si="0"/>
        <v>0</v>
      </c>
      <c r="J57" s="476"/>
      <c r="K57" s="488"/>
      <c r="L57" s="479">
        <f t="shared" si="1"/>
        <v>0</v>
      </c>
      <c r="M57" s="488"/>
      <c r="N57" s="479">
        <f t="shared" si="2"/>
        <v>0</v>
      </c>
      <c r="O57" s="479">
        <f t="shared" si="3"/>
        <v>0</v>
      </c>
      <c r="P57" s="243"/>
    </row>
    <row r="58" spans="2:16" ht="12.5">
      <c r="B58" s="160" t="str">
        <f t="shared" si="5"/>
        <v/>
      </c>
      <c r="C58" s="473">
        <f>IF(D11="","-",+C57+1)</f>
        <v>2058</v>
      </c>
      <c r="D58" s="484">
        <f>IF(F57+SUM(E$17:E57)=D$10,F57,D$10-SUM(E$17:E57))</f>
        <v>192062.02196382306</v>
      </c>
      <c r="E58" s="485">
        <f t="shared" si="7"/>
        <v>45609.79069767442</v>
      </c>
      <c r="F58" s="486">
        <f t="shared" si="8"/>
        <v>146452.23126614865</v>
      </c>
      <c r="G58" s="487">
        <f t="shared" si="9"/>
        <v>65083.895402094066</v>
      </c>
      <c r="H58" s="456">
        <f t="shared" si="10"/>
        <v>65083.895402094066</v>
      </c>
      <c r="I58" s="476">
        <f t="shared" si="0"/>
        <v>0</v>
      </c>
      <c r="J58" s="476"/>
      <c r="K58" s="488"/>
      <c r="L58" s="479">
        <f t="shared" si="1"/>
        <v>0</v>
      </c>
      <c r="M58" s="488"/>
      <c r="N58" s="479">
        <f t="shared" si="2"/>
        <v>0</v>
      </c>
      <c r="O58" s="479">
        <f t="shared" si="3"/>
        <v>0</v>
      </c>
      <c r="P58" s="243"/>
    </row>
    <row r="59" spans="2:16" ht="12.5">
      <c r="B59" s="160" t="str">
        <f t="shared" si="5"/>
        <v/>
      </c>
      <c r="C59" s="473">
        <f>IF(D11="","-",+C58+1)</f>
        <v>2059</v>
      </c>
      <c r="D59" s="484">
        <f>IF(F58+SUM(E$17:E58)=D$10,F58,D$10-SUM(E$17:E58))</f>
        <v>146452.23126614865</v>
      </c>
      <c r="E59" s="485">
        <f t="shared" si="7"/>
        <v>45609.79069767442</v>
      </c>
      <c r="F59" s="486">
        <f t="shared" si="8"/>
        <v>100842.44056847424</v>
      </c>
      <c r="G59" s="487">
        <f t="shared" si="9"/>
        <v>59836.200032589099</v>
      </c>
      <c r="H59" s="456">
        <f t="shared" si="10"/>
        <v>59836.200032589099</v>
      </c>
      <c r="I59" s="476">
        <f t="shared" si="0"/>
        <v>0</v>
      </c>
      <c r="J59" s="476"/>
      <c r="K59" s="488"/>
      <c r="L59" s="479">
        <f t="shared" si="1"/>
        <v>0</v>
      </c>
      <c r="M59" s="488"/>
      <c r="N59" s="479">
        <f t="shared" si="2"/>
        <v>0</v>
      </c>
      <c r="O59" s="479">
        <f t="shared" si="3"/>
        <v>0</v>
      </c>
      <c r="P59" s="243"/>
    </row>
    <row r="60" spans="2:16" ht="12.5">
      <c r="B60" s="160" t="str">
        <f t="shared" si="5"/>
        <v/>
      </c>
      <c r="C60" s="473">
        <f>IF(D11="","-",+C59+1)</f>
        <v>2060</v>
      </c>
      <c r="D60" s="484">
        <f>IF(F59+SUM(E$17:E59)=D$10,F59,D$10-SUM(E$17:E59))</f>
        <v>100842.44056847424</v>
      </c>
      <c r="E60" s="485">
        <f t="shared" si="7"/>
        <v>45609.79069767442</v>
      </c>
      <c r="F60" s="486">
        <f t="shared" si="8"/>
        <v>55232.649870799818</v>
      </c>
      <c r="G60" s="487">
        <f t="shared" si="9"/>
        <v>54588.504663084139</v>
      </c>
      <c r="H60" s="456">
        <f t="shared" si="10"/>
        <v>54588.504663084139</v>
      </c>
      <c r="I60" s="476">
        <f t="shared" si="0"/>
        <v>0</v>
      </c>
      <c r="J60" s="476"/>
      <c r="K60" s="488"/>
      <c r="L60" s="479">
        <f t="shared" si="1"/>
        <v>0</v>
      </c>
      <c r="M60" s="488"/>
      <c r="N60" s="479">
        <f t="shared" si="2"/>
        <v>0</v>
      </c>
      <c r="O60" s="479">
        <f t="shared" si="3"/>
        <v>0</v>
      </c>
      <c r="P60" s="243"/>
    </row>
    <row r="61" spans="2:16" ht="12.5">
      <c r="B61" s="160" t="str">
        <f t="shared" si="5"/>
        <v/>
      </c>
      <c r="C61" s="473">
        <f>IF(D11="","-",+C60+1)</f>
        <v>2061</v>
      </c>
      <c r="D61" s="484">
        <f>IF(F60+SUM(E$17:E60)=D$10,F60,D$10-SUM(E$17:E60))</f>
        <v>55232.649870799818</v>
      </c>
      <c r="E61" s="485">
        <f t="shared" si="7"/>
        <v>45609.79069767442</v>
      </c>
      <c r="F61" s="486">
        <f t="shared" si="8"/>
        <v>9622.8591731253982</v>
      </c>
      <c r="G61" s="487">
        <f t="shared" si="9"/>
        <v>49340.809293579172</v>
      </c>
      <c r="H61" s="456">
        <f t="shared" si="10"/>
        <v>49340.809293579172</v>
      </c>
      <c r="I61" s="476">
        <f t="shared" si="0"/>
        <v>0</v>
      </c>
      <c r="J61" s="476"/>
      <c r="K61" s="488"/>
      <c r="L61" s="479">
        <f t="shared" si="1"/>
        <v>0</v>
      </c>
      <c r="M61" s="488"/>
      <c r="N61" s="479">
        <f t="shared" si="2"/>
        <v>0</v>
      </c>
      <c r="O61" s="479">
        <f t="shared" si="3"/>
        <v>0</v>
      </c>
      <c r="P61" s="243"/>
    </row>
    <row r="62" spans="2:16" ht="12.5">
      <c r="B62" s="160" t="str">
        <f t="shared" si="5"/>
        <v/>
      </c>
      <c r="C62" s="473">
        <f>IF(D11="","-",+C61+1)</f>
        <v>2062</v>
      </c>
      <c r="D62" s="484">
        <f>IF(F61+SUM(E$17:E61)=D$10,F61,D$10-SUM(E$17:E61))</f>
        <v>9622.8591731253982</v>
      </c>
      <c r="E62" s="485">
        <f t="shared" si="7"/>
        <v>9622.8591731253982</v>
      </c>
      <c r="F62" s="486">
        <f t="shared" si="8"/>
        <v>0</v>
      </c>
      <c r="G62" s="487">
        <f t="shared" si="9"/>
        <v>10176.444628701533</v>
      </c>
      <c r="H62" s="456">
        <f t="shared" si="10"/>
        <v>10176.444628701533</v>
      </c>
      <c r="I62" s="476">
        <f t="shared" si="0"/>
        <v>0</v>
      </c>
      <c r="J62" s="476"/>
      <c r="K62" s="488"/>
      <c r="L62" s="479">
        <f t="shared" si="1"/>
        <v>0</v>
      </c>
      <c r="M62" s="488"/>
      <c r="N62" s="479">
        <f t="shared" si="2"/>
        <v>0</v>
      </c>
      <c r="O62" s="479">
        <f t="shared" si="3"/>
        <v>0</v>
      </c>
      <c r="P62" s="243"/>
    </row>
    <row r="63" spans="2:16" ht="12.5">
      <c r="B63" s="160" t="str">
        <f t="shared" si="5"/>
        <v/>
      </c>
      <c r="C63" s="473">
        <f>IF(D11="","-",+C62+1)</f>
        <v>2063</v>
      </c>
      <c r="D63" s="484">
        <f>IF(F62+SUM(E$17:E62)=D$10,F62,D$10-SUM(E$17:E62))</f>
        <v>0</v>
      </c>
      <c r="E63" s="485">
        <f t="shared" si="7"/>
        <v>0</v>
      </c>
      <c r="F63" s="486">
        <f t="shared" si="8"/>
        <v>0</v>
      </c>
      <c r="G63" s="487">
        <f t="shared" si="9"/>
        <v>0</v>
      </c>
      <c r="H63" s="456">
        <f t="shared" si="10"/>
        <v>0</v>
      </c>
      <c r="I63" s="476">
        <f t="shared" si="0"/>
        <v>0</v>
      </c>
      <c r="J63" s="476"/>
      <c r="K63" s="488"/>
      <c r="L63" s="479">
        <f t="shared" si="1"/>
        <v>0</v>
      </c>
      <c r="M63" s="488"/>
      <c r="N63" s="479">
        <f t="shared" si="2"/>
        <v>0</v>
      </c>
      <c r="O63" s="479">
        <f t="shared" si="3"/>
        <v>0</v>
      </c>
      <c r="P63" s="243"/>
    </row>
    <row r="64" spans="2:16" ht="12.5">
      <c r="B64" s="160" t="str">
        <f t="shared" si="5"/>
        <v/>
      </c>
      <c r="C64" s="473">
        <f>IF(D11="","-",+C63+1)</f>
        <v>2064</v>
      </c>
      <c r="D64" s="484">
        <f>IF(F63+SUM(E$17:E63)=D$10,F63,D$10-SUM(E$17:E63))</f>
        <v>0</v>
      </c>
      <c r="E64" s="485">
        <f t="shared" si="7"/>
        <v>0</v>
      </c>
      <c r="F64" s="486">
        <f t="shared" si="8"/>
        <v>0</v>
      </c>
      <c r="G64" s="487">
        <f t="shared" si="9"/>
        <v>0</v>
      </c>
      <c r="H64" s="456">
        <f t="shared" si="10"/>
        <v>0</v>
      </c>
      <c r="I64" s="476">
        <f t="shared" si="0"/>
        <v>0</v>
      </c>
      <c r="J64" s="476"/>
      <c r="K64" s="488"/>
      <c r="L64" s="479">
        <f t="shared" si="1"/>
        <v>0</v>
      </c>
      <c r="M64" s="488"/>
      <c r="N64" s="479">
        <f t="shared" si="2"/>
        <v>0</v>
      </c>
      <c r="O64" s="479">
        <f t="shared" si="3"/>
        <v>0</v>
      </c>
      <c r="P64" s="243"/>
    </row>
    <row r="65" spans="2:16" ht="12.5">
      <c r="B65" s="160" t="str">
        <f t="shared" si="5"/>
        <v/>
      </c>
      <c r="C65" s="473">
        <f>IF(D11="","-",+C64+1)</f>
        <v>2065</v>
      </c>
      <c r="D65" s="484">
        <f>IF(F64+SUM(E$17:E64)=D$10,F64,D$10-SUM(E$17:E64))</f>
        <v>0</v>
      </c>
      <c r="E65" s="485">
        <f t="shared" si="7"/>
        <v>0</v>
      </c>
      <c r="F65" s="486">
        <f t="shared" si="8"/>
        <v>0</v>
      </c>
      <c r="G65" s="487">
        <f t="shared" si="9"/>
        <v>0</v>
      </c>
      <c r="H65" s="456">
        <f t="shared" si="10"/>
        <v>0</v>
      </c>
      <c r="I65" s="476">
        <f t="shared" si="0"/>
        <v>0</v>
      </c>
      <c r="J65" s="476"/>
      <c r="K65" s="488"/>
      <c r="L65" s="479">
        <f t="shared" si="1"/>
        <v>0</v>
      </c>
      <c r="M65" s="488"/>
      <c r="N65" s="479">
        <f t="shared" si="2"/>
        <v>0</v>
      </c>
      <c r="O65" s="479">
        <f t="shared" si="3"/>
        <v>0</v>
      </c>
      <c r="P65" s="243"/>
    </row>
    <row r="66" spans="2:16" ht="12.5">
      <c r="B66" s="160" t="str">
        <f t="shared" si="5"/>
        <v/>
      </c>
      <c r="C66" s="473">
        <f>IF(D11="","-",+C65+1)</f>
        <v>2066</v>
      </c>
      <c r="D66" s="484">
        <f>IF(F65+SUM(E$17:E65)=D$10,F65,D$10-SUM(E$17:E65))</f>
        <v>0</v>
      </c>
      <c r="E66" s="485">
        <f t="shared" si="7"/>
        <v>0</v>
      </c>
      <c r="F66" s="486">
        <f t="shared" si="8"/>
        <v>0</v>
      </c>
      <c r="G66" s="487">
        <f t="shared" si="9"/>
        <v>0</v>
      </c>
      <c r="H66" s="456">
        <f t="shared" si="10"/>
        <v>0</v>
      </c>
      <c r="I66" s="476">
        <f t="shared" si="0"/>
        <v>0</v>
      </c>
      <c r="J66" s="476"/>
      <c r="K66" s="488"/>
      <c r="L66" s="479">
        <f t="shared" si="1"/>
        <v>0</v>
      </c>
      <c r="M66" s="488"/>
      <c r="N66" s="479">
        <f t="shared" si="2"/>
        <v>0</v>
      </c>
      <c r="O66" s="479">
        <f t="shared" si="3"/>
        <v>0</v>
      </c>
      <c r="P66" s="243"/>
    </row>
    <row r="67" spans="2:16" ht="12.5">
      <c r="B67" s="160" t="str">
        <f t="shared" si="5"/>
        <v/>
      </c>
      <c r="C67" s="473">
        <f>IF(D11="","-",+C66+1)</f>
        <v>2067</v>
      </c>
      <c r="D67" s="484">
        <f>IF(F66+SUM(E$17:E66)=D$10,F66,D$10-SUM(E$17:E66))</f>
        <v>0</v>
      </c>
      <c r="E67" s="485">
        <f t="shared" si="7"/>
        <v>0</v>
      </c>
      <c r="F67" s="486">
        <f t="shared" si="8"/>
        <v>0</v>
      </c>
      <c r="G67" s="487">
        <f t="shared" si="9"/>
        <v>0</v>
      </c>
      <c r="H67" s="456">
        <f t="shared" si="10"/>
        <v>0</v>
      </c>
      <c r="I67" s="476">
        <f t="shared" si="0"/>
        <v>0</v>
      </c>
      <c r="J67" s="476"/>
      <c r="K67" s="488"/>
      <c r="L67" s="479">
        <f t="shared" si="1"/>
        <v>0</v>
      </c>
      <c r="M67" s="488"/>
      <c r="N67" s="479">
        <f t="shared" si="2"/>
        <v>0</v>
      </c>
      <c r="O67" s="479">
        <f t="shared" si="3"/>
        <v>0</v>
      </c>
      <c r="P67" s="243"/>
    </row>
    <row r="68" spans="2:16" ht="12.5">
      <c r="B68" s="160" t="str">
        <f t="shared" si="5"/>
        <v/>
      </c>
      <c r="C68" s="473">
        <f>IF(D11="","-",+C67+1)</f>
        <v>2068</v>
      </c>
      <c r="D68" s="484">
        <f>IF(F67+SUM(E$17:E67)=D$10,F67,D$10-SUM(E$17:E67))</f>
        <v>0</v>
      </c>
      <c r="E68" s="485">
        <f t="shared" si="7"/>
        <v>0</v>
      </c>
      <c r="F68" s="486">
        <f t="shared" si="8"/>
        <v>0</v>
      </c>
      <c r="G68" s="487">
        <f t="shared" si="9"/>
        <v>0</v>
      </c>
      <c r="H68" s="456">
        <f t="shared" si="10"/>
        <v>0</v>
      </c>
      <c r="I68" s="476">
        <f t="shared" si="0"/>
        <v>0</v>
      </c>
      <c r="J68" s="476"/>
      <c r="K68" s="488"/>
      <c r="L68" s="479">
        <f t="shared" si="1"/>
        <v>0</v>
      </c>
      <c r="M68" s="488"/>
      <c r="N68" s="479">
        <f t="shared" si="2"/>
        <v>0</v>
      </c>
      <c r="O68" s="479">
        <f t="shared" si="3"/>
        <v>0</v>
      </c>
      <c r="P68" s="243"/>
    </row>
    <row r="69" spans="2:16" ht="12.5">
      <c r="B69" s="160" t="str">
        <f t="shared" si="5"/>
        <v/>
      </c>
      <c r="C69" s="473">
        <f>IF(D11="","-",+C68+1)</f>
        <v>2069</v>
      </c>
      <c r="D69" s="484">
        <f>IF(F68+SUM(E$17:E68)=D$10,F68,D$10-SUM(E$17:E68))</f>
        <v>0</v>
      </c>
      <c r="E69" s="485">
        <f t="shared" si="7"/>
        <v>0</v>
      </c>
      <c r="F69" s="486">
        <f t="shared" si="8"/>
        <v>0</v>
      </c>
      <c r="G69" s="487">
        <f t="shared" si="9"/>
        <v>0</v>
      </c>
      <c r="H69" s="456">
        <f t="shared" si="10"/>
        <v>0</v>
      </c>
      <c r="I69" s="476">
        <f t="shared" si="0"/>
        <v>0</v>
      </c>
      <c r="J69" s="476"/>
      <c r="K69" s="488"/>
      <c r="L69" s="479">
        <f t="shared" si="1"/>
        <v>0</v>
      </c>
      <c r="M69" s="488"/>
      <c r="N69" s="479">
        <f t="shared" si="2"/>
        <v>0</v>
      </c>
      <c r="O69" s="479">
        <f t="shared" si="3"/>
        <v>0</v>
      </c>
      <c r="P69" s="243"/>
    </row>
    <row r="70" spans="2:16" ht="12.5">
      <c r="B70" s="160" t="str">
        <f t="shared" si="5"/>
        <v/>
      </c>
      <c r="C70" s="473">
        <f>IF(D11="","-",+C69+1)</f>
        <v>2070</v>
      </c>
      <c r="D70" s="484">
        <f>IF(F69+SUM(E$17:E69)=D$10,F69,D$10-SUM(E$17:E69))</f>
        <v>0</v>
      </c>
      <c r="E70" s="485">
        <f t="shared" si="7"/>
        <v>0</v>
      </c>
      <c r="F70" s="486">
        <f t="shared" si="8"/>
        <v>0</v>
      </c>
      <c r="G70" s="487">
        <f t="shared" si="9"/>
        <v>0</v>
      </c>
      <c r="H70" s="456">
        <f t="shared" si="10"/>
        <v>0</v>
      </c>
      <c r="I70" s="476">
        <f t="shared" si="0"/>
        <v>0</v>
      </c>
      <c r="J70" s="476"/>
      <c r="K70" s="488"/>
      <c r="L70" s="479">
        <f t="shared" si="1"/>
        <v>0</v>
      </c>
      <c r="M70" s="488"/>
      <c r="N70" s="479">
        <f t="shared" si="2"/>
        <v>0</v>
      </c>
      <c r="O70" s="479">
        <f t="shared" si="3"/>
        <v>0</v>
      </c>
      <c r="P70" s="243"/>
    </row>
    <row r="71" spans="2:16" ht="12.5">
      <c r="B71" s="160" t="str">
        <f t="shared" si="5"/>
        <v/>
      </c>
      <c r="C71" s="473">
        <f>IF(D11="","-",+C70+1)</f>
        <v>2071</v>
      </c>
      <c r="D71" s="484">
        <f>IF(F70+SUM(E$17:E70)=D$10,F70,D$10-SUM(E$17:E70))</f>
        <v>0</v>
      </c>
      <c r="E71" s="485">
        <f t="shared" si="7"/>
        <v>0</v>
      </c>
      <c r="F71" s="486">
        <f t="shared" si="8"/>
        <v>0</v>
      </c>
      <c r="G71" s="487">
        <f t="shared" si="9"/>
        <v>0</v>
      </c>
      <c r="H71" s="456">
        <f t="shared" si="10"/>
        <v>0</v>
      </c>
      <c r="I71" s="476">
        <f t="shared" si="0"/>
        <v>0</v>
      </c>
      <c r="J71" s="476"/>
      <c r="K71" s="488"/>
      <c r="L71" s="479">
        <f t="shared" si="1"/>
        <v>0</v>
      </c>
      <c r="M71" s="488"/>
      <c r="N71" s="479">
        <f t="shared" si="2"/>
        <v>0</v>
      </c>
      <c r="O71" s="479">
        <f t="shared" si="3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2072</v>
      </c>
      <c r="D72" s="613">
        <f>IF(F71+SUM(E$17:E71)=D$10,F71,D$10-SUM(E$17:E71))</f>
        <v>0</v>
      </c>
      <c r="E72" s="492">
        <f t="shared" si="7"/>
        <v>0</v>
      </c>
      <c r="F72" s="491">
        <f t="shared" si="8"/>
        <v>0</v>
      </c>
      <c r="G72" s="545">
        <f t="shared" si="9"/>
        <v>0</v>
      </c>
      <c r="H72" s="436">
        <f t="shared" si="10"/>
        <v>0</v>
      </c>
      <c r="I72" s="494">
        <f t="shared" si="0"/>
        <v>0</v>
      </c>
      <c r="J72" s="476"/>
      <c r="K72" s="495"/>
      <c r="L72" s="496">
        <f t="shared" si="1"/>
        <v>0</v>
      </c>
      <c r="M72" s="495"/>
      <c r="N72" s="496">
        <f t="shared" si="2"/>
        <v>0</v>
      </c>
      <c r="O72" s="496">
        <f t="shared" si="3"/>
        <v>0</v>
      </c>
      <c r="P72" s="243"/>
    </row>
    <row r="73" spans="2:16" ht="12.5">
      <c r="C73" s="347" t="s">
        <v>77</v>
      </c>
      <c r="D73" s="348"/>
      <c r="E73" s="348">
        <f>SUM(E17:E72)</f>
        <v>1961221</v>
      </c>
      <c r="F73" s="348"/>
      <c r="G73" s="348">
        <f>SUM(G17:G72)</f>
        <v>6877865.7120033531</v>
      </c>
      <c r="H73" s="348">
        <f>SUM(H17:H72)</f>
        <v>6877865.7120033531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20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246703.23209680832</v>
      </c>
      <c r="N87" s="509">
        <f>IF(J92&lt;D11,0,VLOOKUP(J92,C17:O72,11))</f>
        <v>246703.23209680832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263588.79157611891</v>
      </c>
      <c r="N88" s="513">
        <f>IF(J92&lt;D11,0,VLOOKUP(J92,C99:P154,7))</f>
        <v>263588.79157611891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Sayre 138 kV Capacitor Bank Addition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16885.559479310585</v>
      </c>
      <c r="N89" s="518">
        <f>+N88-N87</f>
        <v>16885.559479310585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TP2015202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1961221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12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45610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0</v>
      </c>
      <c r="F99" s="585">
        <v>1140000</v>
      </c>
      <c r="G99" s="609">
        <v>570000</v>
      </c>
      <c r="H99" s="588">
        <v>72305.937255510624</v>
      </c>
      <c r="I99" s="608">
        <v>72305.937255510624</v>
      </c>
      <c r="J99" s="479">
        <f t="shared" ref="J99:J130" si="11">+I99-H99</f>
        <v>0</v>
      </c>
      <c r="K99" s="479"/>
      <c r="L99" s="478">
        <f>+H99</f>
        <v>72305.937255510624</v>
      </c>
      <c r="M99" s="478">
        <f t="shared" ref="M99:M130" si="12">IF(L99&lt;&gt;0,+H99-L99,0)</f>
        <v>0</v>
      </c>
      <c r="N99" s="478">
        <f>+I99</f>
        <v>72305.937255510624</v>
      </c>
      <c r="O99" s="478">
        <f t="shared" ref="O99:O130" si="13">IF(N99&lt;&gt;0,+I99-N99,0)</f>
        <v>0</v>
      </c>
      <c r="P99" s="478">
        <f t="shared" ref="P99:P130" si="14">+O99-M99</f>
        <v>0</v>
      </c>
    </row>
    <row r="100" spans="1:16" ht="12.5">
      <c r="B100" s="160" t="str">
        <f>IF(D100=F99,"","IU")</f>
        <v>IU</v>
      </c>
      <c r="C100" s="473">
        <f>IF(D93="","-",+C99+1)</f>
        <v>2019</v>
      </c>
      <c r="D100" s="585">
        <v>1961221</v>
      </c>
      <c r="E100" s="586">
        <v>47835</v>
      </c>
      <c r="F100" s="587">
        <v>1913386</v>
      </c>
      <c r="G100" s="587">
        <v>1937303.5</v>
      </c>
      <c r="H100" s="607">
        <v>247598.16362509641</v>
      </c>
      <c r="I100" s="608">
        <v>247598.16362509641</v>
      </c>
      <c r="J100" s="479">
        <f t="shared" si="11"/>
        <v>0</v>
      </c>
      <c r="K100" s="479"/>
      <c r="L100" s="477">
        <f>H100</f>
        <v>247598.16362509641</v>
      </c>
      <c r="M100" s="349">
        <f>IF(L100&lt;&gt;0,+H100-L100,0)</f>
        <v>0</v>
      </c>
      <c r="N100" s="477">
        <f>I100</f>
        <v>247598.16362509641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5">IF(D101=F100,"","IU")</f>
        <v/>
      </c>
      <c r="C101" s="473">
        <f>IF(D93="","-",+C100+1)</f>
        <v>2020</v>
      </c>
      <c r="D101" s="347">
        <f>IF(F100+SUM(E$99:E100)=D$92,F100,D$92-SUM(E$99:E100))</f>
        <v>1913386</v>
      </c>
      <c r="E101" s="485">
        <f t="shared" ref="E101:E154" si="16">IF(+J$96&lt;F100,J$96,D101)</f>
        <v>45610</v>
      </c>
      <c r="F101" s="486">
        <f t="shared" ref="F101:F154" si="17">+D101-E101</f>
        <v>1867776</v>
      </c>
      <c r="G101" s="486">
        <f t="shared" ref="G101:G154" si="18">+(F101+D101)/2</f>
        <v>1890581</v>
      </c>
      <c r="H101" s="487">
        <f>(D101+F101)/2*J$94+E101</f>
        <v>263588.79157611891</v>
      </c>
      <c r="I101" s="543">
        <f t="shared" ref="I101" si="19">+J$95*G101+E101</f>
        <v>263588.79157611891</v>
      </c>
      <c r="J101" s="479">
        <f t="shared" si="11"/>
        <v>0</v>
      </c>
      <c r="K101" s="479"/>
      <c r="L101" s="488"/>
      <c r="M101" s="479">
        <f t="shared" si="12"/>
        <v>0</v>
      </c>
      <c r="N101" s="488"/>
      <c r="O101" s="479">
        <f t="shared" si="13"/>
        <v>0</v>
      </c>
      <c r="P101" s="479">
        <f t="shared" si="14"/>
        <v>0</v>
      </c>
    </row>
    <row r="102" spans="1:16" ht="12.5">
      <c r="B102" s="160" t="str">
        <f t="shared" si="15"/>
        <v/>
      </c>
      <c r="C102" s="473">
        <f>IF(D93="","-",+C101+1)</f>
        <v>2021</v>
      </c>
      <c r="D102" s="347">
        <f>IF(F101+SUM(E$99:E101)=D$92,F101,D$92-SUM(E$99:E101))</f>
        <v>1867776</v>
      </c>
      <c r="E102" s="485">
        <f t="shared" si="16"/>
        <v>45610</v>
      </c>
      <c r="F102" s="486">
        <f t="shared" si="17"/>
        <v>1822166</v>
      </c>
      <c r="G102" s="486">
        <f t="shared" si="18"/>
        <v>1844971</v>
      </c>
      <c r="H102" s="487">
        <f t="shared" ref="H102:H153" si="20">(D102+F102)/2*J$94+E102</f>
        <v>258330.08397047449</v>
      </c>
      <c r="I102" s="543">
        <f t="shared" ref="I102:I153" si="21">+J$95*G102+E102</f>
        <v>258330.08397047449</v>
      </c>
      <c r="J102" s="479">
        <f t="shared" si="11"/>
        <v>0</v>
      </c>
      <c r="K102" s="479"/>
      <c r="L102" s="488"/>
      <c r="M102" s="479">
        <f t="shared" si="12"/>
        <v>0</v>
      </c>
      <c r="N102" s="488"/>
      <c r="O102" s="479">
        <f t="shared" si="13"/>
        <v>0</v>
      </c>
      <c r="P102" s="479">
        <f t="shared" si="14"/>
        <v>0</v>
      </c>
    </row>
    <row r="103" spans="1:16" ht="12.5">
      <c r="B103" s="160" t="str">
        <f t="shared" si="15"/>
        <v/>
      </c>
      <c r="C103" s="473">
        <f>IF(D93="","-",+C102+1)</f>
        <v>2022</v>
      </c>
      <c r="D103" s="347">
        <f>IF(F102+SUM(E$99:E102)=D$92,F102,D$92-SUM(E$99:E102))</f>
        <v>1822166</v>
      </c>
      <c r="E103" s="485">
        <f t="shared" si="16"/>
        <v>45610</v>
      </c>
      <c r="F103" s="486">
        <f t="shared" si="17"/>
        <v>1776556</v>
      </c>
      <c r="G103" s="486">
        <f t="shared" si="18"/>
        <v>1799361</v>
      </c>
      <c r="H103" s="487">
        <f t="shared" si="20"/>
        <v>253071.3763648301</v>
      </c>
      <c r="I103" s="543">
        <f t="shared" si="21"/>
        <v>253071.3763648301</v>
      </c>
      <c r="J103" s="479">
        <f t="shared" si="11"/>
        <v>0</v>
      </c>
      <c r="K103" s="479"/>
      <c r="L103" s="488"/>
      <c r="M103" s="479">
        <f t="shared" si="12"/>
        <v>0</v>
      </c>
      <c r="N103" s="488"/>
      <c r="O103" s="479">
        <f t="shared" si="13"/>
        <v>0</v>
      </c>
      <c r="P103" s="479">
        <f t="shared" si="14"/>
        <v>0</v>
      </c>
    </row>
    <row r="104" spans="1:16" ht="12.5">
      <c r="B104" s="160" t="str">
        <f t="shared" si="15"/>
        <v/>
      </c>
      <c r="C104" s="473">
        <f>IF(D93="","-",+C103+1)</f>
        <v>2023</v>
      </c>
      <c r="D104" s="347">
        <f>IF(F103+SUM(E$99:E103)=D$92,F103,D$92-SUM(E$99:E103))</f>
        <v>1776556</v>
      </c>
      <c r="E104" s="485">
        <f t="shared" si="16"/>
        <v>45610</v>
      </c>
      <c r="F104" s="486">
        <f t="shared" si="17"/>
        <v>1730946</v>
      </c>
      <c r="G104" s="486">
        <f t="shared" si="18"/>
        <v>1753751</v>
      </c>
      <c r="H104" s="487">
        <f t="shared" si="20"/>
        <v>247812.6687591857</v>
      </c>
      <c r="I104" s="543">
        <f t="shared" si="21"/>
        <v>247812.6687591857</v>
      </c>
      <c r="J104" s="479">
        <f t="shared" si="11"/>
        <v>0</v>
      </c>
      <c r="K104" s="479"/>
      <c r="L104" s="488"/>
      <c r="M104" s="479">
        <f t="shared" si="12"/>
        <v>0</v>
      </c>
      <c r="N104" s="488"/>
      <c r="O104" s="479">
        <f t="shared" si="13"/>
        <v>0</v>
      </c>
      <c r="P104" s="479">
        <f t="shared" si="14"/>
        <v>0</v>
      </c>
    </row>
    <row r="105" spans="1:16" ht="12.5">
      <c r="B105" s="160" t="str">
        <f t="shared" si="15"/>
        <v/>
      </c>
      <c r="C105" s="473">
        <f>IF(D93="","-",+C104+1)</f>
        <v>2024</v>
      </c>
      <c r="D105" s="347">
        <f>IF(F104+SUM(E$99:E104)=D$92,F104,D$92-SUM(E$99:E104))</f>
        <v>1730946</v>
      </c>
      <c r="E105" s="485">
        <f t="shared" si="16"/>
        <v>45610</v>
      </c>
      <c r="F105" s="486">
        <f t="shared" si="17"/>
        <v>1685336</v>
      </c>
      <c r="G105" s="486">
        <f t="shared" si="18"/>
        <v>1708141</v>
      </c>
      <c r="H105" s="487">
        <f t="shared" si="20"/>
        <v>242553.96115354131</v>
      </c>
      <c r="I105" s="543">
        <f t="shared" si="21"/>
        <v>242553.96115354131</v>
      </c>
      <c r="J105" s="479">
        <f t="shared" si="11"/>
        <v>0</v>
      </c>
      <c r="K105" s="479"/>
      <c r="L105" s="488"/>
      <c r="M105" s="479">
        <f t="shared" si="12"/>
        <v>0</v>
      </c>
      <c r="N105" s="488"/>
      <c r="O105" s="479">
        <f t="shared" si="13"/>
        <v>0</v>
      </c>
      <c r="P105" s="479">
        <f t="shared" si="14"/>
        <v>0</v>
      </c>
    </row>
    <row r="106" spans="1:16" ht="12.5">
      <c r="B106" s="160" t="str">
        <f t="shared" si="15"/>
        <v/>
      </c>
      <c r="C106" s="473">
        <f>IF(D93="","-",+C105+1)</f>
        <v>2025</v>
      </c>
      <c r="D106" s="347">
        <f>IF(F105+SUM(E$99:E105)=D$92,F105,D$92-SUM(E$99:E105))</f>
        <v>1685336</v>
      </c>
      <c r="E106" s="485">
        <f t="shared" si="16"/>
        <v>45610</v>
      </c>
      <c r="F106" s="486">
        <f t="shared" si="17"/>
        <v>1639726</v>
      </c>
      <c r="G106" s="486">
        <f t="shared" si="18"/>
        <v>1662531</v>
      </c>
      <c r="H106" s="487">
        <f t="shared" si="20"/>
        <v>237295.25354789692</v>
      </c>
      <c r="I106" s="543">
        <f t="shared" si="21"/>
        <v>237295.25354789692</v>
      </c>
      <c r="J106" s="479">
        <f t="shared" si="11"/>
        <v>0</v>
      </c>
      <c r="K106" s="479"/>
      <c r="L106" s="488"/>
      <c r="M106" s="479">
        <f t="shared" si="12"/>
        <v>0</v>
      </c>
      <c r="N106" s="488"/>
      <c r="O106" s="479">
        <f t="shared" si="13"/>
        <v>0</v>
      </c>
      <c r="P106" s="479">
        <f t="shared" si="14"/>
        <v>0</v>
      </c>
    </row>
    <row r="107" spans="1:16" ht="12.5">
      <c r="B107" s="160" t="str">
        <f t="shared" si="15"/>
        <v/>
      </c>
      <c r="C107" s="473">
        <f>IF(D93="","-",+C106+1)</f>
        <v>2026</v>
      </c>
      <c r="D107" s="347">
        <f>IF(F106+SUM(E$99:E106)=D$92,F106,D$92-SUM(E$99:E106))</f>
        <v>1639726</v>
      </c>
      <c r="E107" s="485">
        <f t="shared" si="16"/>
        <v>45610</v>
      </c>
      <c r="F107" s="486">
        <f t="shared" si="17"/>
        <v>1594116</v>
      </c>
      <c r="G107" s="486">
        <f t="shared" si="18"/>
        <v>1616921</v>
      </c>
      <c r="H107" s="487">
        <f t="shared" si="20"/>
        <v>232036.54594225253</v>
      </c>
      <c r="I107" s="543">
        <f t="shared" si="21"/>
        <v>232036.54594225253</v>
      </c>
      <c r="J107" s="479">
        <f t="shared" si="11"/>
        <v>0</v>
      </c>
      <c r="K107" s="479"/>
      <c r="L107" s="488"/>
      <c r="M107" s="479">
        <f t="shared" si="12"/>
        <v>0</v>
      </c>
      <c r="N107" s="488"/>
      <c r="O107" s="479">
        <f t="shared" si="13"/>
        <v>0</v>
      </c>
      <c r="P107" s="479">
        <f t="shared" si="14"/>
        <v>0</v>
      </c>
    </row>
    <row r="108" spans="1:16" ht="12.5">
      <c r="B108" s="160" t="str">
        <f t="shared" si="15"/>
        <v/>
      </c>
      <c r="C108" s="473">
        <f>IF(D93="","-",+C107+1)</f>
        <v>2027</v>
      </c>
      <c r="D108" s="347">
        <f>IF(F107+SUM(E$99:E107)=D$92,F107,D$92-SUM(E$99:E107))</f>
        <v>1594116</v>
      </c>
      <c r="E108" s="485">
        <f t="shared" si="16"/>
        <v>45610</v>
      </c>
      <c r="F108" s="486">
        <f t="shared" si="17"/>
        <v>1548506</v>
      </c>
      <c r="G108" s="486">
        <f t="shared" si="18"/>
        <v>1571311</v>
      </c>
      <c r="H108" s="487">
        <f t="shared" si="20"/>
        <v>226777.83833660814</v>
      </c>
      <c r="I108" s="543">
        <f t="shared" si="21"/>
        <v>226777.83833660814</v>
      </c>
      <c r="J108" s="479">
        <f t="shared" si="11"/>
        <v>0</v>
      </c>
      <c r="K108" s="479"/>
      <c r="L108" s="488"/>
      <c r="M108" s="479">
        <f t="shared" si="12"/>
        <v>0</v>
      </c>
      <c r="N108" s="488"/>
      <c r="O108" s="479">
        <f t="shared" si="13"/>
        <v>0</v>
      </c>
      <c r="P108" s="479">
        <f t="shared" si="14"/>
        <v>0</v>
      </c>
    </row>
    <row r="109" spans="1:16" ht="12.5">
      <c r="B109" s="160" t="str">
        <f t="shared" si="15"/>
        <v/>
      </c>
      <c r="C109" s="473">
        <f>IF(D93="","-",+C108+1)</f>
        <v>2028</v>
      </c>
      <c r="D109" s="347">
        <f>IF(F108+SUM(E$99:E108)=D$92,F108,D$92-SUM(E$99:E108))</f>
        <v>1548506</v>
      </c>
      <c r="E109" s="485">
        <f t="shared" si="16"/>
        <v>45610</v>
      </c>
      <c r="F109" s="486">
        <f t="shared" si="17"/>
        <v>1502896</v>
      </c>
      <c r="G109" s="486">
        <f t="shared" si="18"/>
        <v>1525701</v>
      </c>
      <c r="H109" s="487">
        <f t="shared" si="20"/>
        <v>221519.13073096375</v>
      </c>
      <c r="I109" s="543">
        <f t="shared" si="21"/>
        <v>221519.13073096375</v>
      </c>
      <c r="J109" s="479">
        <f t="shared" si="11"/>
        <v>0</v>
      </c>
      <c r="K109" s="479"/>
      <c r="L109" s="488"/>
      <c r="M109" s="479">
        <f t="shared" si="12"/>
        <v>0</v>
      </c>
      <c r="N109" s="488"/>
      <c r="O109" s="479">
        <f t="shared" si="13"/>
        <v>0</v>
      </c>
      <c r="P109" s="479">
        <f t="shared" si="14"/>
        <v>0</v>
      </c>
    </row>
    <row r="110" spans="1:16" ht="12.5">
      <c r="B110" s="160" t="str">
        <f t="shared" si="15"/>
        <v/>
      </c>
      <c r="C110" s="473">
        <f>IF(D93="","-",+C109+1)</f>
        <v>2029</v>
      </c>
      <c r="D110" s="347">
        <f>IF(F109+SUM(E$99:E109)=D$92,F109,D$92-SUM(E$99:E109))</f>
        <v>1502896</v>
      </c>
      <c r="E110" s="485">
        <f t="shared" si="16"/>
        <v>45610</v>
      </c>
      <c r="F110" s="486">
        <f t="shared" si="17"/>
        <v>1457286</v>
      </c>
      <c r="G110" s="486">
        <f t="shared" si="18"/>
        <v>1480091</v>
      </c>
      <c r="H110" s="487">
        <f t="shared" si="20"/>
        <v>216260.42312531936</v>
      </c>
      <c r="I110" s="543">
        <f t="shared" si="21"/>
        <v>216260.42312531936</v>
      </c>
      <c r="J110" s="479">
        <f t="shared" si="11"/>
        <v>0</v>
      </c>
      <c r="K110" s="479"/>
      <c r="L110" s="488"/>
      <c r="M110" s="479">
        <f t="shared" si="12"/>
        <v>0</v>
      </c>
      <c r="N110" s="488"/>
      <c r="O110" s="479">
        <f t="shared" si="13"/>
        <v>0</v>
      </c>
      <c r="P110" s="479">
        <f t="shared" si="14"/>
        <v>0</v>
      </c>
    </row>
    <row r="111" spans="1:16" ht="12.5">
      <c r="B111" s="160" t="str">
        <f t="shared" si="15"/>
        <v/>
      </c>
      <c r="C111" s="473">
        <f>IF(D93="","-",+C110+1)</f>
        <v>2030</v>
      </c>
      <c r="D111" s="347">
        <f>IF(F110+SUM(E$99:E110)=D$92,F110,D$92-SUM(E$99:E110))</f>
        <v>1457286</v>
      </c>
      <c r="E111" s="485">
        <f t="shared" si="16"/>
        <v>45610</v>
      </c>
      <c r="F111" s="486">
        <f t="shared" si="17"/>
        <v>1411676</v>
      </c>
      <c r="G111" s="486">
        <f t="shared" si="18"/>
        <v>1434481</v>
      </c>
      <c r="H111" s="487">
        <f t="shared" si="20"/>
        <v>211001.71551967497</v>
      </c>
      <c r="I111" s="543">
        <f t="shared" si="21"/>
        <v>211001.71551967497</v>
      </c>
      <c r="J111" s="479">
        <f t="shared" si="11"/>
        <v>0</v>
      </c>
      <c r="K111" s="479"/>
      <c r="L111" s="488"/>
      <c r="M111" s="479">
        <f t="shared" si="12"/>
        <v>0</v>
      </c>
      <c r="N111" s="488"/>
      <c r="O111" s="479">
        <f t="shared" si="13"/>
        <v>0</v>
      </c>
      <c r="P111" s="479">
        <f t="shared" si="14"/>
        <v>0</v>
      </c>
    </row>
    <row r="112" spans="1:16" ht="12.5">
      <c r="B112" s="160" t="str">
        <f t="shared" si="15"/>
        <v/>
      </c>
      <c r="C112" s="473">
        <f>IF(D93="","-",+C111+1)</f>
        <v>2031</v>
      </c>
      <c r="D112" s="347">
        <f>IF(F111+SUM(E$99:E111)=D$92,F111,D$92-SUM(E$99:E111))</f>
        <v>1411676</v>
      </c>
      <c r="E112" s="485">
        <f t="shared" si="16"/>
        <v>45610</v>
      </c>
      <c r="F112" s="486">
        <f t="shared" si="17"/>
        <v>1366066</v>
      </c>
      <c r="G112" s="486">
        <f t="shared" si="18"/>
        <v>1388871</v>
      </c>
      <c r="H112" s="487">
        <f t="shared" si="20"/>
        <v>205743.00791403058</v>
      </c>
      <c r="I112" s="543">
        <f t="shared" si="21"/>
        <v>205743.00791403058</v>
      </c>
      <c r="J112" s="479">
        <f t="shared" si="11"/>
        <v>0</v>
      </c>
      <c r="K112" s="479"/>
      <c r="L112" s="488"/>
      <c r="M112" s="479">
        <f t="shared" si="12"/>
        <v>0</v>
      </c>
      <c r="N112" s="488"/>
      <c r="O112" s="479">
        <f t="shared" si="13"/>
        <v>0</v>
      </c>
      <c r="P112" s="479">
        <f t="shared" si="14"/>
        <v>0</v>
      </c>
    </row>
    <row r="113" spans="2:16" ht="12.5">
      <c r="B113" s="160" t="str">
        <f t="shared" si="15"/>
        <v/>
      </c>
      <c r="C113" s="473">
        <f>IF(D93="","-",+C112+1)</f>
        <v>2032</v>
      </c>
      <c r="D113" s="347">
        <f>IF(F112+SUM(E$99:E112)=D$92,F112,D$92-SUM(E$99:E112))</f>
        <v>1366066</v>
      </c>
      <c r="E113" s="485">
        <f t="shared" si="16"/>
        <v>45610</v>
      </c>
      <c r="F113" s="486">
        <f t="shared" si="17"/>
        <v>1320456</v>
      </c>
      <c r="G113" s="486">
        <f t="shared" si="18"/>
        <v>1343261</v>
      </c>
      <c r="H113" s="487">
        <f t="shared" si="20"/>
        <v>200484.30030838615</v>
      </c>
      <c r="I113" s="543">
        <f t="shared" si="21"/>
        <v>200484.30030838615</v>
      </c>
      <c r="J113" s="479">
        <f t="shared" si="11"/>
        <v>0</v>
      </c>
      <c r="K113" s="479"/>
      <c r="L113" s="488"/>
      <c r="M113" s="479">
        <f t="shared" si="12"/>
        <v>0</v>
      </c>
      <c r="N113" s="488"/>
      <c r="O113" s="479">
        <f t="shared" si="13"/>
        <v>0</v>
      </c>
      <c r="P113" s="479">
        <f t="shared" si="14"/>
        <v>0</v>
      </c>
    </row>
    <row r="114" spans="2:16" ht="12.5">
      <c r="B114" s="160" t="str">
        <f t="shared" si="15"/>
        <v/>
      </c>
      <c r="C114" s="473">
        <f>IF(D93="","-",+C113+1)</f>
        <v>2033</v>
      </c>
      <c r="D114" s="347">
        <f>IF(F113+SUM(E$99:E113)=D$92,F113,D$92-SUM(E$99:E113))</f>
        <v>1320456</v>
      </c>
      <c r="E114" s="485">
        <f t="shared" si="16"/>
        <v>45610</v>
      </c>
      <c r="F114" s="486">
        <f t="shared" si="17"/>
        <v>1274846</v>
      </c>
      <c r="G114" s="486">
        <f t="shared" si="18"/>
        <v>1297651</v>
      </c>
      <c r="H114" s="487">
        <f t="shared" si="20"/>
        <v>195225.59270274176</v>
      </c>
      <c r="I114" s="543">
        <f t="shared" si="21"/>
        <v>195225.59270274176</v>
      </c>
      <c r="J114" s="479">
        <f t="shared" si="11"/>
        <v>0</v>
      </c>
      <c r="K114" s="479"/>
      <c r="L114" s="488"/>
      <c r="M114" s="479">
        <f t="shared" si="12"/>
        <v>0</v>
      </c>
      <c r="N114" s="488"/>
      <c r="O114" s="479">
        <f t="shared" si="13"/>
        <v>0</v>
      </c>
      <c r="P114" s="479">
        <f t="shared" si="14"/>
        <v>0</v>
      </c>
    </row>
    <row r="115" spans="2:16" ht="12.5">
      <c r="B115" s="160" t="str">
        <f t="shared" si="15"/>
        <v/>
      </c>
      <c r="C115" s="473">
        <f>IF(D93="","-",+C114+1)</f>
        <v>2034</v>
      </c>
      <c r="D115" s="347">
        <f>IF(F114+SUM(E$99:E114)=D$92,F114,D$92-SUM(E$99:E114))</f>
        <v>1274846</v>
      </c>
      <c r="E115" s="485">
        <f t="shared" si="16"/>
        <v>45610</v>
      </c>
      <c r="F115" s="486">
        <f t="shared" si="17"/>
        <v>1229236</v>
      </c>
      <c r="G115" s="486">
        <f t="shared" si="18"/>
        <v>1252041</v>
      </c>
      <c r="H115" s="487">
        <f t="shared" si="20"/>
        <v>189966.88509709737</v>
      </c>
      <c r="I115" s="543">
        <f t="shared" si="21"/>
        <v>189966.88509709737</v>
      </c>
      <c r="J115" s="479">
        <f t="shared" si="11"/>
        <v>0</v>
      </c>
      <c r="K115" s="479"/>
      <c r="L115" s="488"/>
      <c r="M115" s="479">
        <f t="shared" si="12"/>
        <v>0</v>
      </c>
      <c r="N115" s="488"/>
      <c r="O115" s="479">
        <f t="shared" si="13"/>
        <v>0</v>
      </c>
      <c r="P115" s="479">
        <f t="shared" si="14"/>
        <v>0</v>
      </c>
    </row>
    <row r="116" spans="2:16" ht="12.5">
      <c r="B116" s="160" t="str">
        <f t="shared" si="15"/>
        <v/>
      </c>
      <c r="C116" s="473">
        <f>IF(D93="","-",+C115+1)</f>
        <v>2035</v>
      </c>
      <c r="D116" s="347">
        <f>IF(F115+SUM(E$99:E115)=D$92,F115,D$92-SUM(E$99:E115))</f>
        <v>1229236</v>
      </c>
      <c r="E116" s="485">
        <f t="shared" si="16"/>
        <v>45610</v>
      </c>
      <c r="F116" s="486">
        <f t="shared" si="17"/>
        <v>1183626</v>
      </c>
      <c r="G116" s="486">
        <f t="shared" si="18"/>
        <v>1206431</v>
      </c>
      <c r="H116" s="487">
        <f t="shared" si="20"/>
        <v>184708.17749145298</v>
      </c>
      <c r="I116" s="543">
        <f t="shared" si="21"/>
        <v>184708.17749145298</v>
      </c>
      <c r="J116" s="479">
        <f t="shared" si="11"/>
        <v>0</v>
      </c>
      <c r="K116" s="479"/>
      <c r="L116" s="488"/>
      <c r="M116" s="479">
        <f t="shared" si="12"/>
        <v>0</v>
      </c>
      <c r="N116" s="488"/>
      <c r="O116" s="479">
        <f t="shared" si="13"/>
        <v>0</v>
      </c>
      <c r="P116" s="479">
        <f t="shared" si="14"/>
        <v>0</v>
      </c>
    </row>
    <row r="117" spans="2:16" ht="12.5">
      <c r="B117" s="160" t="str">
        <f t="shared" si="15"/>
        <v/>
      </c>
      <c r="C117" s="473">
        <f>IF(D93="","-",+C116+1)</f>
        <v>2036</v>
      </c>
      <c r="D117" s="347">
        <f>IF(F116+SUM(E$99:E116)=D$92,F116,D$92-SUM(E$99:E116))</f>
        <v>1183626</v>
      </c>
      <c r="E117" s="485">
        <f t="shared" si="16"/>
        <v>45610</v>
      </c>
      <c r="F117" s="486">
        <f t="shared" si="17"/>
        <v>1138016</v>
      </c>
      <c r="G117" s="486">
        <f t="shared" si="18"/>
        <v>1160821</v>
      </c>
      <c r="H117" s="487">
        <f t="shared" si="20"/>
        <v>179449.46988580859</v>
      </c>
      <c r="I117" s="543">
        <f t="shared" si="21"/>
        <v>179449.46988580859</v>
      </c>
      <c r="J117" s="479">
        <f t="shared" si="11"/>
        <v>0</v>
      </c>
      <c r="K117" s="479"/>
      <c r="L117" s="488"/>
      <c r="M117" s="479">
        <f t="shared" si="12"/>
        <v>0</v>
      </c>
      <c r="N117" s="488"/>
      <c r="O117" s="479">
        <f t="shared" si="13"/>
        <v>0</v>
      </c>
      <c r="P117" s="479">
        <f t="shared" si="14"/>
        <v>0</v>
      </c>
    </row>
    <row r="118" spans="2:16" ht="12.5">
      <c r="B118" s="160" t="str">
        <f t="shared" si="15"/>
        <v/>
      </c>
      <c r="C118" s="473">
        <f>IF(D93="","-",+C117+1)</f>
        <v>2037</v>
      </c>
      <c r="D118" s="347">
        <f>IF(F117+SUM(E$99:E117)=D$92,F117,D$92-SUM(E$99:E117))</f>
        <v>1138016</v>
      </c>
      <c r="E118" s="485">
        <f t="shared" si="16"/>
        <v>45610</v>
      </c>
      <c r="F118" s="486">
        <f t="shared" si="17"/>
        <v>1092406</v>
      </c>
      <c r="G118" s="486">
        <f t="shared" si="18"/>
        <v>1115211</v>
      </c>
      <c r="H118" s="487">
        <f t="shared" si="20"/>
        <v>174190.7622801642</v>
      </c>
      <c r="I118" s="543">
        <f t="shared" si="21"/>
        <v>174190.7622801642</v>
      </c>
      <c r="J118" s="479">
        <f t="shared" si="11"/>
        <v>0</v>
      </c>
      <c r="K118" s="479"/>
      <c r="L118" s="488"/>
      <c r="M118" s="479">
        <f t="shared" si="12"/>
        <v>0</v>
      </c>
      <c r="N118" s="488"/>
      <c r="O118" s="479">
        <f t="shared" si="13"/>
        <v>0</v>
      </c>
      <c r="P118" s="479">
        <f t="shared" si="14"/>
        <v>0</v>
      </c>
    </row>
    <row r="119" spans="2:16" ht="12.5">
      <c r="B119" s="160" t="str">
        <f t="shared" si="15"/>
        <v/>
      </c>
      <c r="C119" s="473">
        <f>IF(D93="","-",+C118+1)</f>
        <v>2038</v>
      </c>
      <c r="D119" s="347">
        <f>IF(F118+SUM(E$99:E118)=D$92,F118,D$92-SUM(E$99:E118))</f>
        <v>1092406</v>
      </c>
      <c r="E119" s="485">
        <f t="shared" si="16"/>
        <v>45610</v>
      </c>
      <c r="F119" s="486">
        <f t="shared" si="17"/>
        <v>1046796</v>
      </c>
      <c r="G119" s="486">
        <f t="shared" si="18"/>
        <v>1069601</v>
      </c>
      <c r="H119" s="487">
        <f t="shared" si="20"/>
        <v>168932.05467451981</v>
      </c>
      <c r="I119" s="543">
        <f t="shared" si="21"/>
        <v>168932.05467451981</v>
      </c>
      <c r="J119" s="479">
        <f t="shared" si="11"/>
        <v>0</v>
      </c>
      <c r="K119" s="479"/>
      <c r="L119" s="488"/>
      <c r="M119" s="479">
        <f t="shared" si="12"/>
        <v>0</v>
      </c>
      <c r="N119" s="488"/>
      <c r="O119" s="479">
        <f t="shared" si="13"/>
        <v>0</v>
      </c>
      <c r="P119" s="479">
        <f t="shared" si="14"/>
        <v>0</v>
      </c>
    </row>
    <row r="120" spans="2:16" ht="12.5">
      <c r="B120" s="160" t="str">
        <f t="shared" si="15"/>
        <v/>
      </c>
      <c r="C120" s="473">
        <f>IF(D93="","-",+C119+1)</f>
        <v>2039</v>
      </c>
      <c r="D120" s="347">
        <f>IF(F119+SUM(E$99:E119)=D$92,F119,D$92-SUM(E$99:E119))</f>
        <v>1046796</v>
      </c>
      <c r="E120" s="485">
        <f t="shared" si="16"/>
        <v>45610</v>
      </c>
      <c r="F120" s="486">
        <f t="shared" si="17"/>
        <v>1001186</v>
      </c>
      <c r="G120" s="486">
        <f t="shared" si="18"/>
        <v>1023991</v>
      </c>
      <c r="H120" s="487">
        <f t="shared" si="20"/>
        <v>163673.34706887542</v>
      </c>
      <c r="I120" s="543">
        <f t="shared" si="21"/>
        <v>163673.34706887542</v>
      </c>
      <c r="J120" s="479">
        <f t="shared" si="11"/>
        <v>0</v>
      </c>
      <c r="K120" s="479"/>
      <c r="L120" s="488"/>
      <c r="M120" s="479">
        <f t="shared" si="12"/>
        <v>0</v>
      </c>
      <c r="N120" s="488"/>
      <c r="O120" s="479">
        <f t="shared" si="13"/>
        <v>0</v>
      </c>
      <c r="P120" s="479">
        <f t="shared" si="14"/>
        <v>0</v>
      </c>
    </row>
    <row r="121" spans="2:16" ht="12.5">
      <c r="B121" s="160" t="str">
        <f t="shared" si="15"/>
        <v/>
      </c>
      <c r="C121" s="473">
        <f>IF(D93="","-",+C120+1)</f>
        <v>2040</v>
      </c>
      <c r="D121" s="347">
        <f>IF(F120+SUM(E$99:E120)=D$92,F120,D$92-SUM(E$99:E120))</f>
        <v>1001186</v>
      </c>
      <c r="E121" s="485">
        <f t="shared" si="16"/>
        <v>45610</v>
      </c>
      <c r="F121" s="486">
        <f t="shared" si="17"/>
        <v>955576</v>
      </c>
      <c r="G121" s="486">
        <f t="shared" si="18"/>
        <v>978381</v>
      </c>
      <c r="H121" s="487">
        <f t="shared" si="20"/>
        <v>158414.63946323103</v>
      </c>
      <c r="I121" s="543">
        <f t="shared" si="21"/>
        <v>158414.63946323103</v>
      </c>
      <c r="J121" s="479">
        <f t="shared" si="11"/>
        <v>0</v>
      </c>
      <c r="K121" s="479"/>
      <c r="L121" s="488"/>
      <c r="M121" s="479">
        <f t="shared" si="12"/>
        <v>0</v>
      </c>
      <c r="N121" s="488"/>
      <c r="O121" s="479">
        <f t="shared" si="13"/>
        <v>0</v>
      </c>
      <c r="P121" s="479">
        <f t="shared" si="14"/>
        <v>0</v>
      </c>
    </row>
    <row r="122" spans="2:16" ht="12.5">
      <c r="B122" s="160" t="str">
        <f t="shared" si="15"/>
        <v/>
      </c>
      <c r="C122" s="473">
        <f>IF(D93="","-",+C121+1)</f>
        <v>2041</v>
      </c>
      <c r="D122" s="347">
        <f>IF(F121+SUM(E$99:E121)=D$92,F121,D$92-SUM(E$99:E121))</f>
        <v>955576</v>
      </c>
      <c r="E122" s="485">
        <f t="shared" si="16"/>
        <v>45610</v>
      </c>
      <c r="F122" s="486">
        <f t="shared" si="17"/>
        <v>909966</v>
      </c>
      <c r="G122" s="486">
        <f t="shared" si="18"/>
        <v>932771</v>
      </c>
      <c r="H122" s="487">
        <f t="shared" si="20"/>
        <v>153155.93185758663</v>
      </c>
      <c r="I122" s="543">
        <f t="shared" si="21"/>
        <v>153155.93185758663</v>
      </c>
      <c r="J122" s="479">
        <f t="shared" si="11"/>
        <v>0</v>
      </c>
      <c r="K122" s="479"/>
      <c r="L122" s="488"/>
      <c r="M122" s="479">
        <f t="shared" si="12"/>
        <v>0</v>
      </c>
      <c r="N122" s="488"/>
      <c r="O122" s="479">
        <f t="shared" si="13"/>
        <v>0</v>
      </c>
      <c r="P122" s="479">
        <f t="shared" si="14"/>
        <v>0</v>
      </c>
    </row>
    <row r="123" spans="2:16" ht="12.5">
      <c r="B123" s="160" t="str">
        <f t="shared" si="15"/>
        <v/>
      </c>
      <c r="C123" s="473">
        <f>IF(D93="","-",+C122+1)</f>
        <v>2042</v>
      </c>
      <c r="D123" s="347">
        <f>IF(F122+SUM(E$99:E122)=D$92,F122,D$92-SUM(E$99:E122))</f>
        <v>909966</v>
      </c>
      <c r="E123" s="485">
        <f t="shared" si="16"/>
        <v>45610</v>
      </c>
      <c r="F123" s="486">
        <f t="shared" si="17"/>
        <v>864356</v>
      </c>
      <c r="G123" s="486">
        <f t="shared" si="18"/>
        <v>887161</v>
      </c>
      <c r="H123" s="487">
        <f t="shared" si="20"/>
        <v>147897.22425194224</v>
      </c>
      <c r="I123" s="543">
        <f t="shared" si="21"/>
        <v>147897.22425194224</v>
      </c>
      <c r="J123" s="479">
        <f t="shared" si="11"/>
        <v>0</v>
      </c>
      <c r="K123" s="479"/>
      <c r="L123" s="488"/>
      <c r="M123" s="479">
        <f t="shared" si="12"/>
        <v>0</v>
      </c>
      <c r="N123" s="488"/>
      <c r="O123" s="479">
        <f t="shared" si="13"/>
        <v>0</v>
      </c>
      <c r="P123" s="479">
        <f t="shared" si="14"/>
        <v>0</v>
      </c>
    </row>
    <row r="124" spans="2:16" ht="12.5">
      <c r="B124" s="160" t="str">
        <f t="shared" si="15"/>
        <v/>
      </c>
      <c r="C124" s="473">
        <f>IF(D93="","-",+C123+1)</f>
        <v>2043</v>
      </c>
      <c r="D124" s="347">
        <f>IF(F123+SUM(E$99:E123)=D$92,F123,D$92-SUM(E$99:E123))</f>
        <v>864356</v>
      </c>
      <c r="E124" s="485">
        <f t="shared" si="16"/>
        <v>45610</v>
      </c>
      <c r="F124" s="486">
        <f t="shared" si="17"/>
        <v>818746</v>
      </c>
      <c r="G124" s="486">
        <f t="shared" si="18"/>
        <v>841551</v>
      </c>
      <c r="H124" s="487">
        <f t="shared" si="20"/>
        <v>142638.51664629782</v>
      </c>
      <c r="I124" s="543">
        <f t="shared" si="21"/>
        <v>142638.51664629782</v>
      </c>
      <c r="J124" s="479">
        <f t="shared" si="11"/>
        <v>0</v>
      </c>
      <c r="K124" s="479"/>
      <c r="L124" s="488"/>
      <c r="M124" s="479">
        <f t="shared" si="12"/>
        <v>0</v>
      </c>
      <c r="N124" s="488"/>
      <c r="O124" s="479">
        <f t="shared" si="13"/>
        <v>0</v>
      </c>
      <c r="P124" s="479">
        <f t="shared" si="14"/>
        <v>0</v>
      </c>
    </row>
    <row r="125" spans="2:16" ht="12.5">
      <c r="B125" s="160" t="str">
        <f t="shared" si="15"/>
        <v/>
      </c>
      <c r="C125" s="473">
        <f>IF(D93="","-",+C124+1)</f>
        <v>2044</v>
      </c>
      <c r="D125" s="347">
        <f>IF(F124+SUM(E$99:E124)=D$92,F124,D$92-SUM(E$99:E124))</f>
        <v>818746</v>
      </c>
      <c r="E125" s="485">
        <f t="shared" si="16"/>
        <v>45610</v>
      </c>
      <c r="F125" s="486">
        <f t="shared" si="17"/>
        <v>773136</v>
      </c>
      <c r="G125" s="486">
        <f t="shared" si="18"/>
        <v>795941</v>
      </c>
      <c r="H125" s="487">
        <f t="shared" si="20"/>
        <v>137379.80904065346</v>
      </c>
      <c r="I125" s="543">
        <f t="shared" si="21"/>
        <v>137379.80904065346</v>
      </c>
      <c r="J125" s="479">
        <f t="shared" si="11"/>
        <v>0</v>
      </c>
      <c r="K125" s="479"/>
      <c r="L125" s="488"/>
      <c r="M125" s="479">
        <f t="shared" si="12"/>
        <v>0</v>
      </c>
      <c r="N125" s="488"/>
      <c r="O125" s="479">
        <f t="shared" si="13"/>
        <v>0</v>
      </c>
      <c r="P125" s="479">
        <f t="shared" si="14"/>
        <v>0</v>
      </c>
    </row>
    <row r="126" spans="2:16" ht="12.5">
      <c r="B126" s="160" t="str">
        <f t="shared" si="15"/>
        <v/>
      </c>
      <c r="C126" s="473">
        <f>IF(D93="","-",+C125+1)</f>
        <v>2045</v>
      </c>
      <c r="D126" s="347">
        <f>IF(F125+SUM(E$99:E125)=D$92,F125,D$92-SUM(E$99:E125))</f>
        <v>773136</v>
      </c>
      <c r="E126" s="485">
        <f t="shared" si="16"/>
        <v>45610</v>
      </c>
      <c r="F126" s="486">
        <f t="shared" si="17"/>
        <v>727526</v>
      </c>
      <c r="G126" s="486">
        <f t="shared" si="18"/>
        <v>750331</v>
      </c>
      <c r="H126" s="487">
        <f t="shared" si="20"/>
        <v>132121.10143500904</v>
      </c>
      <c r="I126" s="543">
        <f t="shared" si="21"/>
        <v>132121.10143500904</v>
      </c>
      <c r="J126" s="479">
        <f t="shared" si="11"/>
        <v>0</v>
      </c>
      <c r="K126" s="479"/>
      <c r="L126" s="488"/>
      <c r="M126" s="479">
        <f t="shared" si="12"/>
        <v>0</v>
      </c>
      <c r="N126" s="488"/>
      <c r="O126" s="479">
        <f t="shared" si="13"/>
        <v>0</v>
      </c>
      <c r="P126" s="479">
        <f t="shared" si="14"/>
        <v>0</v>
      </c>
    </row>
    <row r="127" spans="2:16" ht="12.5">
      <c r="B127" s="160" t="str">
        <f t="shared" si="15"/>
        <v/>
      </c>
      <c r="C127" s="473">
        <f>IF(D93="","-",+C126+1)</f>
        <v>2046</v>
      </c>
      <c r="D127" s="347">
        <f>IF(F126+SUM(E$99:E126)=D$92,F126,D$92-SUM(E$99:E126))</f>
        <v>727526</v>
      </c>
      <c r="E127" s="485">
        <f t="shared" si="16"/>
        <v>45610</v>
      </c>
      <c r="F127" s="486">
        <f t="shared" si="17"/>
        <v>681916</v>
      </c>
      <c r="G127" s="486">
        <f t="shared" si="18"/>
        <v>704721</v>
      </c>
      <c r="H127" s="487">
        <f t="shared" si="20"/>
        <v>126862.39382936466</v>
      </c>
      <c r="I127" s="543">
        <f t="shared" si="21"/>
        <v>126862.39382936466</v>
      </c>
      <c r="J127" s="479">
        <f t="shared" si="11"/>
        <v>0</v>
      </c>
      <c r="K127" s="479"/>
      <c r="L127" s="488"/>
      <c r="M127" s="479">
        <f t="shared" si="12"/>
        <v>0</v>
      </c>
      <c r="N127" s="488"/>
      <c r="O127" s="479">
        <f t="shared" si="13"/>
        <v>0</v>
      </c>
      <c r="P127" s="479">
        <f t="shared" si="14"/>
        <v>0</v>
      </c>
    </row>
    <row r="128" spans="2:16" ht="12.5">
      <c r="B128" s="160" t="str">
        <f t="shared" si="15"/>
        <v/>
      </c>
      <c r="C128" s="473">
        <f>IF(D93="","-",+C127+1)</f>
        <v>2047</v>
      </c>
      <c r="D128" s="347">
        <f>IF(F127+SUM(E$99:E127)=D$92,F127,D$92-SUM(E$99:E127))</f>
        <v>681916</v>
      </c>
      <c r="E128" s="485">
        <f t="shared" si="16"/>
        <v>45610</v>
      </c>
      <c r="F128" s="486">
        <f t="shared" si="17"/>
        <v>636306</v>
      </c>
      <c r="G128" s="486">
        <f t="shared" si="18"/>
        <v>659111</v>
      </c>
      <c r="H128" s="487">
        <f t="shared" si="20"/>
        <v>121603.68622372027</v>
      </c>
      <c r="I128" s="543">
        <f t="shared" si="21"/>
        <v>121603.68622372027</v>
      </c>
      <c r="J128" s="479">
        <f t="shared" si="11"/>
        <v>0</v>
      </c>
      <c r="K128" s="479"/>
      <c r="L128" s="488"/>
      <c r="M128" s="479">
        <f t="shared" si="12"/>
        <v>0</v>
      </c>
      <c r="N128" s="488"/>
      <c r="O128" s="479">
        <f t="shared" si="13"/>
        <v>0</v>
      </c>
      <c r="P128" s="479">
        <f t="shared" si="14"/>
        <v>0</v>
      </c>
    </row>
    <row r="129" spans="2:16" ht="12.5">
      <c r="B129" s="160" t="str">
        <f t="shared" si="15"/>
        <v/>
      </c>
      <c r="C129" s="473">
        <f>IF(D93="","-",+C128+1)</f>
        <v>2048</v>
      </c>
      <c r="D129" s="347">
        <f>IF(F128+SUM(E$99:E128)=D$92,F128,D$92-SUM(E$99:E128))</f>
        <v>636306</v>
      </c>
      <c r="E129" s="485">
        <f t="shared" si="16"/>
        <v>45610</v>
      </c>
      <c r="F129" s="486">
        <f t="shared" si="17"/>
        <v>590696</v>
      </c>
      <c r="G129" s="486">
        <f t="shared" si="18"/>
        <v>613501</v>
      </c>
      <c r="H129" s="487">
        <f t="shared" si="20"/>
        <v>116344.97861807588</v>
      </c>
      <c r="I129" s="543">
        <f t="shared" si="21"/>
        <v>116344.97861807588</v>
      </c>
      <c r="J129" s="479">
        <f t="shared" si="11"/>
        <v>0</v>
      </c>
      <c r="K129" s="479"/>
      <c r="L129" s="488"/>
      <c r="M129" s="479">
        <f t="shared" si="12"/>
        <v>0</v>
      </c>
      <c r="N129" s="488"/>
      <c r="O129" s="479">
        <f t="shared" si="13"/>
        <v>0</v>
      </c>
      <c r="P129" s="479">
        <f t="shared" si="14"/>
        <v>0</v>
      </c>
    </row>
    <row r="130" spans="2:16" ht="12.5">
      <c r="B130" s="160" t="str">
        <f t="shared" si="15"/>
        <v/>
      </c>
      <c r="C130" s="473">
        <f>IF(D93="","-",+C129+1)</f>
        <v>2049</v>
      </c>
      <c r="D130" s="347">
        <f>IF(F129+SUM(E$99:E129)=D$92,F129,D$92-SUM(E$99:E129))</f>
        <v>590696</v>
      </c>
      <c r="E130" s="485">
        <f t="shared" si="16"/>
        <v>45610</v>
      </c>
      <c r="F130" s="486">
        <f t="shared" si="17"/>
        <v>545086</v>
      </c>
      <c r="G130" s="486">
        <f t="shared" si="18"/>
        <v>567891</v>
      </c>
      <c r="H130" s="487">
        <f t="shared" si="20"/>
        <v>111086.27101243148</v>
      </c>
      <c r="I130" s="543">
        <f t="shared" si="21"/>
        <v>111086.27101243148</v>
      </c>
      <c r="J130" s="479">
        <f t="shared" si="11"/>
        <v>0</v>
      </c>
      <c r="K130" s="479"/>
      <c r="L130" s="488"/>
      <c r="M130" s="479">
        <f t="shared" si="12"/>
        <v>0</v>
      </c>
      <c r="N130" s="488"/>
      <c r="O130" s="479">
        <f t="shared" si="13"/>
        <v>0</v>
      </c>
      <c r="P130" s="479">
        <f t="shared" si="14"/>
        <v>0</v>
      </c>
    </row>
    <row r="131" spans="2:16" ht="12.5">
      <c r="B131" s="160" t="str">
        <f t="shared" si="15"/>
        <v/>
      </c>
      <c r="C131" s="473">
        <f>IF(D93="","-",+C130+1)</f>
        <v>2050</v>
      </c>
      <c r="D131" s="347">
        <f>IF(F130+SUM(E$99:E130)=D$92,F130,D$92-SUM(E$99:E130))</f>
        <v>545086</v>
      </c>
      <c r="E131" s="485">
        <f t="shared" si="16"/>
        <v>45610</v>
      </c>
      <c r="F131" s="486">
        <f t="shared" si="17"/>
        <v>499476</v>
      </c>
      <c r="G131" s="486">
        <f t="shared" si="18"/>
        <v>522281</v>
      </c>
      <c r="H131" s="487">
        <f t="shared" si="20"/>
        <v>105827.56340678709</v>
      </c>
      <c r="I131" s="543">
        <f t="shared" si="21"/>
        <v>105827.56340678709</v>
      </c>
      <c r="J131" s="479">
        <f t="shared" ref="J131:J154" si="22">+I541-H541</f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5"/>
        <v/>
      </c>
      <c r="C132" s="473">
        <f>IF(D93="","-",+C131+1)</f>
        <v>2051</v>
      </c>
      <c r="D132" s="347">
        <f>IF(F131+SUM(E$99:E131)=D$92,F131,D$92-SUM(E$99:E131))</f>
        <v>499476</v>
      </c>
      <c r="E132" s="485">
        <f t="shared" si="16"/>
        <v>45610</v>
      </c>
      <c r="F132" s="486">
        <f t="shared" si="17"/>
        <v>453866</v>
      </c>
      <c r="G132" s="486">
        <f t="shared" si="18"/>
        <v>476671</v>
      </c>
      <c r="H132" s="487">
        <f t="shared" si="20"/>
        <v>100568.85580114269</v>
      </c>
      <c r="I132" s="543">
        <f t="shared" si="21"/>
        <v>100568.85580114269</v>
      </c>
      <c r="J132" s="479">
        <f t="shared" si="22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5"/>
        <v/>
      </c>
      <c r="C133" s="473">
        <f>IF(D93="","-",+C132+1)</f>
        <v>2052</v>
      </c>
      <c r="D133" s="347">
        <f>IF(F132+SUM(E$99:E132)=D$92,F132,D$92-SUM(E$99:E132))</f>
        <v>453866</v>
      </c>
      <c r="E133" s="485">
        <f t="shared" si="16"/>
        <v>45610</v>
      </c>
      <c r="F133" s="486">
        <f t="shared" si="17"/>
        <v>408256</v>
      </c>
      <c r="G133" s="486">
        <f t="shared" si="18"/>
        <v>431061</v>
      </c>
      <c r="H133" s="487">
        <f t="shared" si="20"/>
        <v>95310.148195498303</v>
      </c>
      <c r="I133" s="543">
        <f t="shared" si="21"/>
        <v>95310.148195498303</v>
      </c>
      <c r="J133" s="479">
        <f t="shared" si="22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5"/>
        <v/>
      </c>
      <c r="C134" s="473">
        <f>IF(D93="","-",+C133+1)</f>
        <v>2053</v>
      </c>
      <c r="D134" s="347">
        <f>IF(F133+SUM(E$99:E133)=D$92,F133,D$92-SUM(E$99:E133))</f>
        <v>408256</v>
      </c>
      <c r="E134" s="485">
        <f t="shared" si="16"/>
        <v>45610</v>
      </c>
      <c r="F134" s="486">
        <f t="shared" si="17"/>
        <v>362646</v>
      </c>
      <c r="G134" s="486">
        <f t="shared" si="18"/>
        <v>385451</v>
      </c>
      <c r="H134" s="487">
        <f t="shared" si="20"/>
        <v>90051.440589853912</v>
      </c>
      <c r="I134" s="543">
        <f t="shared" si="21"/>
        <v>90051.440589853912</v>
      </c>
      <c r="J134" s="479">
        <f t="shared" si="22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5"/>
        <v/>
      </c>
      <c r="C135" s="473">
        <f>IF(D93="","-",+C134+1)</f>
        <v>2054</v>
      </c>
      <c r="D135" s="347">
        <f>IF(F134+SUM(E$99:E134)=D$92,F134,D$92-SUM(E$99:E134))</f>
        <v>362646</v>
      </c>
      <c r="E135" s="485">
        <f t="shared" si="16"/>
        <v>45610</v>
      </c>
      <c r="F135" s="486">
        <f t="shared" si="17"/>
        <v>317036</v>
      </c>
      <c r="G135" s="486">
        <f t="shared" si="18"/>
        <v>339841</v>
      </c>
      <c r="H135" s="487">
        <f t="shared" si="20"/>
        <v>84792.732984209521</v>
      </c>
      <c r="I135" s="543">
        <f t="shared" si="21"/>
        <v>84792.732984209521</v>
      </c>
      <c r="J135" s="479">
        <f t="shared" si="22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5"/>
        <v/>
      </c>
      <c r="C136" s="473">
        <f>IF(D93="","-",+C135+1)</f>
        <v>2055</v>
      </c>
      <c r="D136" s="347">
        <f>IF(F135+SUM(E$99:E135)=D$92,F135,D$92-SUM(E$99:E135))</f>
        <v>317036</v>
      </c>
      <c r="E136" s="485">
        <f t="shared" si="16"/>
        <v>45610</v>
      </c>
      <c r="F136" s="486">
        <f t="shared" si="17"/>
        <v>271426</v>
      </c>
      <c r="G136" s="486">
        <f t="shared" si="18"/>
        <v>294231</v>
      </c>
      <c r="H136" s="487">
        <f t="shared" si="20"/>
        <v>79534.025378565129</v>
      </c>
      <c r="I136" s="543">
        <f t="shared" si="21"/>
        <v>79534.025378565129</v>
      </c>
      <c r="J136" s="479">
        <f t="shared" si="22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5"/>
        <v/>
      </c>
      <c r="C137" s="473">
        <f>IF(D93="","-",+C136+1)</f>
        <v>2056</v>
      </c>
      <c r="D137" s="347">
        <f>IF(F136+SUM(E$99:E136)=D$92,F136,D$92-SUM(E$99:E136))</f>
        <v>271426</v>
      </c>
      <c r="E137" s="485">
        <f t="shared" si="16"/>
        <v>45610</v>
      </c>
      <c r="F137" s="486">
        <f t="shared" si="17"/>
        <v>225816</v>
      </c>
      <c r="G137" s="486">
        <f t="shared" si="18"/>
        <v>248621</v>
      </c>
      <c r="H137" s="487">
        <f t="shared" si="20"/>
        <v>74275.317772920738</v>
      </c>
      <c r="I137" s="543">
        <f t="shared" si="21"/>
        <v>74275.317772920738</v>
      </c>
      <c r="J137" s="479">
        <f t="shared" si="22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5"/>
        <v/>
      </c>
      <c r="C138" s="473">
        <f>IF(D93="","-",+C137+1)</f>
        <v>2057</v>
      </c>
      <c r="D138" s="347">
        <f>IF(F137+SUM(E$99:E137)=D$92,F137,D$92-SUM(E$99:E137))</f>
        <v>225816</v>
      </c>
      <c r="E138" s="485">
        <f t="shared" si="16"/>
        <v>45610</v>
      </c>
      <c r="F138" s="486">
        <f t="shared" si="17"/>
        <v>180206</v>
      </c>
      <c r="G138" s="486">
        <f t="shared" si="18"/>
        <v>203011</v>
      </c>
      <c r="H138" s="487">
        <f t="shared" si="20"/>
        <v>69016.610167276347</v>
      </c>
      <c r="I138" s="543">
        <f t="shared" si="21"/>
        <v>69016.610167276347</v>
      </c>
      <c r="J138" s="479">
        <f t="shared" si="22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5"/>
        <v/>
      </c>
      <c r="C139" s="473">
        <f>IF(D93="","-",+C138+1)</f>
        <v>2058</v>
      </c>
      <c r="D139" s="347">
        <f>IF(F138+SUM(E$99:E138)=D$92,F138,D$92-SUM(E$99:E138))</f>
        <v>180206</v>
      </c>
      <c r="E139" s="485">
        <f t="shared" si="16"/>
        <v>45610</v>
      </c>
      <c r="F139" s="486">
        <f t="shared" si="17"/>
        <v>134596</v>
      </c>
      <c r="G139" s="486">
        <f t="shared" si="18"/>
        <v>157401</v>
      </c>
      <c r="H139" s="487">
        <f t="shared" si="20"/>
        <v>63757.902561631949</v>
      </c>
      <c r="I139" s="543">
        <f t="shared" si="21"/>
        <v>63757.902561631949</v>
      </c>
      <c r="J139" s="479">
        <f t="shared" si="22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5"/>
        <v/>
      </c>
      <c r="C140" s="473">
        <f>IF(D93="","-",+C139+1)</f>
        <v>2059</v>
      </c>
      <c r="D140" s="347">
        <f>IF(F139+SUM(E$99:E139)=D$92,F139,D$92-SUM(E$99:E139))</f>
        <v>134596</v>
      </c>
      <c r="E140" s="485">
        <f t="shared" si="16"/>
        <v>45610</v>
      </c>
      <c r="F140" s="486">
        <f t="shared" si="17"/>
        <v>88986</v>
      </c>
      <c r="G140" s="486">
        <f t="shared" si="18"/>
        <v>111791</v>
      </c>
      <c r="H140" s="487">
        <f t="shared" si="20"/>
        <v>58499.19495598755</v>
      </c>
      <c r="I140" s="543">
        <f t="shared" si="21"/>
        <v>58499.19495598755</v>
      </c>
      <c r="J140" s="479">
        <f t="shared" si="22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5"/>
        <v/>
      </c>
      <c r="C141" s="473">
        <f>IF(D93="","-",+C140+1)</f>
        <v>2060</v>
      </c>
      <c r="D141" s="347">
        <f>IF(F140+SUM(E$99:E140)=D$92,F140,D$92-SUM(E$99:E140))</f>
        <v>88986</v>
      </c>
      <c r="E141" s="485">
        <f t="shared" si="16"/>
        <v>45610</v>
      </c>
      <c r="F141" s="486">
        <f t="shared" si="17"/>
        <v>43376</v>
      </c>
      <c r="G141" s="486">
        <f t="shared" si="18"/>
        <v>66181</v>
      </c>
      <c r="H141" s="487">
        <f t="shared" si="20"/>
        <v>53240.487350343159</v>
      </c>
      <c r="I141" s="543">
        <f t="shared" si="21"/>
        <v>53240.487350343159</v>
      </c>
      <c r="J141" s="479">
        <f t="shared" si="22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5"/>
        <v/>
      </c>
      <c r="C142" s="473">
        <f>IF(D93="","-",+C141+1)</f>
        <v>2061</v>
      </c>
      <c r="D142" s="347">
        <f>IF(F141+SUM(E$99:E141)=D$92,F141,D$92-SUM(E$99:E141))</f>
        <v>43376</v>
      </c>
      <c r="E142" s="485">
        <f t="shared" si="16"/>
        <v>43376</v>
      </c>
      <c r="F142" s="486">
        <f t="shared" si="17"/>
        <v>0</v>
      </c>
      <c r="G142" s="486">
        <f t="shared" si="18"/>
        <v>21688</v>
      </c>
      <c r="H142" s="487">
        <f t="shared" si="20"/>
        <v>45876.566773760482</v>
      </c>
      <c r="I142" s="543">
        <f t="shared" si="21"/>
        <v>45876.566773760482</v>
      </c>
      <c r="J142" s="479">
        <f t="shared" si="22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5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16"/>
        <v>0</v>
      </c>
      <c r="F143" s="486">
        <f t="shared" si="17"/>
        <v>0</v>
      </c>
      <c r="G143" s="486">
        <f t="shared" si="18"/>
        <v>0</v>
      </c>
      <c r="H143" s="487">
        <f t="shared" si="20"/>
        <v>0</v>
      </c>
      <c r="I143" s="543">
        <f t="shared" si="21"/>
        <v>0</v>
      </c>
      <c r="J143" s="479">
        <f t="shared" si="22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5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16"/>
        <v>0</v>
      </c>
      <c r="F144" s="486">
        <f t="shared" si="17"/>
        <v>0</v>
      </c>
      <c r="G144" s="486">
        <f t="shared" si="18"/>
        <v>0</v>
      </c>
      <c r="H144" s="487">
        <f t="shared" si="20"/>
        <v>0</v>
      </c>
      <c r="I144" s="543">
        <f t="shared" si="21"/>
        <v>0</v>
      </c>
      <c r="J144" s="479">
        <f t="shared" si="22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5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16"/>
        <v>0</v>
      </c>
      <c r="F145" s="486">
        <f t="shared" si="17"/>
        <v>0</v>
      </c>
      <c r="G145" s="486">
        <f t="shared" si="18"/>
        <v>0</v>
      </c>
      <c r="H145" s="487">
        <f t="shared" si="20"/>
        <v>0</v>
      </c>
      <c r="I145" s="543">
        <f t="shared" si="21"/>
        <v>0</v>
      </c>
      <c r="J145" s="479">
        <f t="shared" si="22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5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16"/>
        <v>0</v>
      </c>
      <c r="F146" s="486">
        <f t="shared" si="17"/>
        <v>0</v>
      </c>
      <c r="G146" s="486">
        <f t="shared" si="18"/>
        <v>0</v>
      </c>
      <c r="H146" s="487">
        <f t="shared" si="20"/>
        <v>0</v>
      </c>
      <c r="I146" s="543">
        <f t="shared" si="21"/>
        <v>0</v>
      </c>
      <c r="J146" s="479">
        <f t="shared" si="22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5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16"/>
        <v>0</v>
      </c>
      <c r="F147" s="486">
        <f t="shared" si="17"/>
        <v>0</v>
      </c>
      <c r="G147" s="486">
        <f t="shared" si="18"/>
        <v>0</v>
      </c>
      <c r="H147" s="487">
        <f t="shared" si="20"/>
        <v>0</v>
      </c>
      <c r="I147" s="543">
        <f t="shared" si="21"/>
        <v>0</v>
      </c>
      <c r="J147" s="479">
        <f t="shared" si="22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5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16"/>
        <v>0</v>
      </c>
      <c r="F148" s="486">
        <f t="shared" si="17"/>
        <v>0</v>
      </c>
      <c r="G148" s="486">
        <f t="shared" si="18"/>
        <v>0</v>
      </c>
      <c r="H148" s="487">
        <f t="shared" si="20"/>
        <v>0</v>
      </c>
      <c r="I148" s="543">
        <f t="shared" si="21"/>
        <v>0</v>
      </c>
      <c r="J148" s="479">
        <f t="shared" si="22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5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16"/>
        <v>0</v>
      </c>
      <c r="F149" s="486">
        <f t="shared" si="17"/>
        <v>0</v>
      </c>
      <c r="G149" s="486">
        <f t="shared" si="18"/>
        <v>0</v>
      </c>
      <c r="H149" s="487">
        <f t="shared" si="20"/>
        <v>0</v>
      </c>
      <c r="I149" s="543">
        <f t="shared" si="21"/>
        <v>0</v>
      </c>
      <c r="J149" s="479">
        <f t="shared" si="22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5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16"/>
        <v>0</v>
      </c>
      <c r="F150" s="486">
        <f t="shared" si="17"/>
        <v>0</v>
      </c>
      <c r="G150" s="486">
        <f t="shared" si="18"/>
        <v>0</v>
      </c>
      <c r="H150" s="487">
        <f t="shared" si="20"/>
        <v>0</v>
      </c>
      <c r="I150" s="543">
        <f t="shared" si="21"/>
        <v>0</v>
      </c>
      <c r="J150" s="479">
        <f t="shared" si="22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5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16"/>
        <v>0</v>
      </c>
      <c r="F151" s="486">
        <f t="shared" si="17"/>
        <v>0</v>
      </c>
      <c r="G151" s="486">
        <f t="shared" si="18"/>
        <v>0</v>
      </c>
      <c r="H151" s="487">
        <f t="shared" si="20"/>
        <v>0</v>
      </c>
      <c r="I151" s="543">
        <f t="shared" si="21"/>
        <v>0</v>
      </c>
      <c r="J151" s="479">
        <f t="shared" si="22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5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16"/>
        <v>0</v>
      </c>
      <c r="F152" s="486">
        <f t="shared" si="17"/>
        <v>0</v>
      </c>
      <c r="G152" s="486">
        <f t="shared" si="18"/>
        <v>0</v>
      </c>
      <c r="H152" s="487">
        <f t="shared" si="20"/>
        <v>0</v>
      </c>
      <c r="I152" s="543">
        <f t="shared" si="21"/>
        <v>0</v>
      </c>
      <c r="J152" s="479">
        <f t="shared" si="22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5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16"/>
        <v>0</v>
      </c>
      <c r="F153" s="486">
        <f t="shared" si="17"/>
        <v>0</v>
      </c>
      <c r="G153" s="486">
        <f t="shared" si="18"/>
        <v>0</v>
      </c>
      <c r="H153" s="487">
        <f t="shared" si="20"/>
        <v>0</v>
      </c>
      <c r="I153" s="543">
        <f t="shared" si="21"/>
        <v>0</v>
      </c>
      <c r="J153" s="479">
        <f t="shared" si="22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5"/>
        <v/>
      </c>
      <c r="C154" s="490">
        <f>IF(D93="","-",+C153+1)</f>
        <v>2073</v>
      </c>
      <c r="D154" s="544">
        <f>IF(F153+SUM(E$99:E153)=D$92,F153,D$92-SUM(E$99:E153))</f>
        <v>0</v>
      </c>
      <c r="E154" s="492">
        <f t="shared" si="16"/>
        <v>0</v>
      </c>
      <c r="F154" s="491">
        <f t="shared" si="17"/>
        <v>0</v>
      </c>
      <c r="G154" s="491">
        <f t="shared" si="18"/>
        <v>0</v>
      </c>
      <c r="H154" s="614">
        <f t="shared" ref="H154" si="26">+J$94*G154+E154</f>
        <v>0</v>
      </c>
      <c r="I154" s="615">
        <f t="shared" ref="I154" si="27">+J$95*G154+E154</f>
        <v>0</v>
      </c>
      <c r="J154" s="496">
        <f t="shared" si="22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1961221</v>
      </c>
      <c r="F155" s="348"/>
      <c r="G155" s="348"/>
      <c r="H155" s="348">
        <f>SUM(H99:H154)</f>
        <v>6860780.8856468387</v>
      </c>
      <c r="I155" s="348">
        <f>SUM(I99:I154)</f>
        <v>6860780.8856468387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P162"/>
  <sheetViews>
    <sheetView view="pageBreakPreview" topLeftCell="A55" zoomScale="78" zoomScaleNormal="100" zoomScaleSheetLayoutView="78" workbookViewId="0">
      <selection activeCell="D101" sqref="D101:I10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21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41623.00118882845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41623.00118882845</v>
      </c>
      <c r="O6" s="233"/>
      <c r="P6" s="233"/>
    </row>
    <row r="7" spans="1:16" ht="13.5" thickBot="1">
      <c r="C7" s="432" t="s">
        <v>46</v>
      </c>
      <c r="D7" s="600" t="s">
        <v>279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300</v>
      </c>
      <c r="E9" s="578" t="s">
        <v>301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330872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2017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7694.6976744186049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2017</v>
      </c>
      <c r="D17" s="585">
        <v>0</v>
      </c>
      <c r="E17" s="609">
        <v>2847.8260869565215</v>
      </c>
      <c r="F17" s="585">
        <v>259152.17391304349</v>
      </c>
      <c r="G17" s="609">
        <v>19337.763747649027</v>
      </c>
      <c r="H17" s="588">
        <v>19337.763747649027</v>
      </c>
      <c r="I17" s="476">
        <f t="shared" ref="I17:I72" si="0">H17-G17</f>
        <v>0</v>
      </c>
      <c r="J17" s="476"/>
      <c r="K17" s="478">
        <f>+G17</f>
        <v>19337.763747649027</v>
      </c>
      <c r="L17" s="478">
        <f t="shared" ref="L17:L72" si="1">IF(K17&lt;&gt;0,+G17-K17,0)</f>
        <v>0</v>
      </c>
      <c r="M17" s="478">
        <f>+H17</f>
        <v>19337.763747649027</v>
      </c>
      <c r="N17" s="478">
        <f t="shared" ref="N17:N72" si="2">IF(M17&lt;&gt;0,+H17-M17,0)</f>
        <v>0</v>
      </c>
      <c r="O17" s="479">
        <f t="shared" ref="O17:O72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2018</v>
      </c>
      <c r="D18" s="585">
        <v>259152.17391304349</v>
      </c>
      <c r="E18" s="586">
        <v>5822.2222222222226</v>
      </c>
      <c r="F18" s="585">
        <v>253329.95169082127</v>
      </c>
      <c r="G18" s="586">
        <v>40500.711549338856</v>
      </c>
      <c r="H18" s="588">
        <v>40500.711549338856</v>
      </c>
      <c r="I18" s="476">
        <f t="shared" si="0"/>
        <v>0</v>
      </c>
      <c r="J18" s="476"/>
      <c r="K18" s="479">
        <f>+G18</f>
        <v>40500.711549338856</v>
      </c>
      <c r="L18" s="479">
        <f t="shared" si="1"/>
        <v>0</v>
      </c>
      <c r="M18" s="479">
        <f>+H18</f>
        <v>40500.711549338856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2019</v>
      </c>
      <c r="D19" s="585">
        <v>253329.95169082127</v>
      </c>
      <c r="E19" s="586">
        <v>5822.2222222222226</v>
      </c>
      <c r="F19" s="585">
        <v>247507.72946859905</v>
      </c>
      <c r="G19" s="586">
        <v>39712.758717011195</v>
      </c>
      <c r="H19" s="588">
        <v>39712.758717011195</v>
      </c>
      <c r="I19" s="476">
        <f t="shared" si="0"/>
        <v>0</v>
      </c>
      <c r="J19" s="476"/>
      <c r="K19" s="479">
        <f>+G19</f>
        <v>39712.758717011195</v>
      </c>
      <c r="L19" s="479">
        <f t="shared" ref="L19" si="4">IF(K19&lt;&gt;0,+G19-K19,0)</f>
        <v>0</v>
      </c>
      <c r="M19" s="479">
        <f>+H19</f>
        <v>39712.758717011195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5">IF(D20=F19,"","IU")</f>
        <v>IU</v>
      </c>
      <c r="C20" s="473">
        <f>IF(D11="","-",+C19+1)</f>
        <v>2020</v>
      </c>
      <c r="D20" s="484">
        <v>316379.72946859902</v>
      </c>
      <c r="E20" s="485">
        <v>7877.9047619047615</v>
      </c>
      <c r="F20" s="486">
        <v>308501.82470669429</v>
      </c>
      <c r="G20" s="487">
        <v>41623.00118882845</v>
      </c>
      <c r="H20" s="456">
        <v>41623.00118882845</v>
      </c>
      <c r="I20" s="476">
        <f t="shared" si="0"/>
        <v>0</v>
      </c>
      <c r="J20" s="476"/>
      <c r="K20" s="479">
        <f>+G20</f>
        <v>41623.00118882845</v>
      </c>
      <c r="L20" s="479">
        <f t="shared" ref="L20" si="6">IF(K20&lt;&gt;0,+G20-K20,0)</f>
        <v>0</v>
      </c>
      <c r="M20" s="479">
        <f>+H20</f>
        <v>41623.00118882845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5"/>
        <v/>
      </c>
      <c r="C21" s="473">
        <f>IF(D11="","-",+C20+1)</f>
        <v>2021</v>
      </c>
      <c r="D21" s="484">
        <f>IF(F20+SUM(E$17:E20)=D$10,F20,D$10-SUM(E$17:E20))</f>
        <v>308501.82470669429</v>
      </c>
      <c r="E21" s="485">
        <f t="shared" ref="E21:E72" si="7">IF(+I$14&lt;F20,I$14,D21)</f>
        <v>7694.6976744186049</v>
      </c>
      <c r="F21" s="486">
        <f t="shared" ref="F21:F72" si="8">+D21-E21</f>
        <v>300807.12703227566</v>
      </c>
      <c r="G21" s="487">
        <f t="shared" ref="G21:G72" si="9">(D21+F21)/2*I$12+E21</f>
        <v>42747.125187548481</v>
      </c>
      <c r="H21" s="456">
        <f t="shared" ref="H21:H72" si="10">+(D21+F21)/2*I$13+E21</f>
        <v>42747.125187548481</v>
      </c>
      <c r="I21" s="476">
        <f t="shared" si="0"/>
        <v>0</v>
      </c>
      <c r="J21" s="476"/>
      <c r="K21" s="488"/>
      <c r="L21" s="479">
        <f t="shared" si="1"/>
        <v>0</v>
      </c>
      <c r="M21" s="488"/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5"/>
        <v/>
      </c>
      <c r="C22" s="473">
        <f>IF(D11="","-",+C21+1)</f>
        <v>2022</v>
      </c>
      <c r="D22" s="484">
        <f>IF(F21+SUM(E$17:E21)=D$10,F21,D$10-SUM(E$17:E21))</f>
        <v>300807.12703227566</v>
      </c>
      <c r="E22" s="485">
        <f t="shared" si="7"/>
        <v>7694.6976744186049</v>
      </c>
      <c r="F22" s="486">
        <f t="shared" si="8"/>
        <v>293112.42935785704</v>
      </c>
      <c r="G22" s="487">
        <f t="shared" si="9"/>
        <v>41861.801472220715</v>
      </c>
      <c r="H22" s="456">
        <f t="shared" si="10"/>
        <v>41861.801472220715</v>
      </c>
      <c r="I22" s="476">
        <f t="shared" si="0"/>
        <v>0</v>
      </c>
      <c r="J22" s="476"/>
      <c r="K22" s="488"/>
      <c r="L22" s="479">
        <f t="shared" si="1"/>
        <v>0</v>
      </c>
      <c r="M22" s="488"/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5"/>
        <v/>
      </c>
      <c r="C23" s="473">
        <f>IF(D11="","-",+C22+1)</f>
        <v>2023</v>
      </c>
      <c r="D23" s="484">
        <f>IF(F22+SUM(E$17:E22)=D$10,F22,D$10-SUM(E$17:E22))</f>
        <v>293112.42935785704</v>
      </c>
      <c r="E23" s="485">
        <f t="shared" si="7"/>
        <v>7694.6976744186049</v>
      </c>
      <c r="F23" s="486">
        <f t="shared" si="8"/>
        <v>285417.73168343841</v>
      </c>
      <c r="G23" s="487">
        <f t="shared" si="9"/>
        <v>40976.477756892935</v>
      </c>
      <c r="H23" s="456">
        <f t="shared" si="10"/>
        <v>40976.477756892935</v>
      </c>
      <c r="I23" s="476">
        <f t="shared" si="0"/>
        <v>0</v>
      </c>
      <c r="J23" s="476"/>
      <c r="K23" s="488"/>
      <c r="L23" s="479">
        <f t="shared" si="1"/>
        <v>0</v>
      </c>
      <c r="M23" s="488"/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5"/>
        <v/>
      </c>
      <c r="C24" s="473">
        <f>IF(D11="","-",+C23+1)</f>
        <v>2024</v>
      </c>
      <c r="D24" s="484">
        <f>IF(F23+SUM(E$17:E23)=D$10,F23,D$10-SUM(E$17:E23))</f>
        <v>285417.73168343841</v>
      </c>
      <c r="E24" s="485">
        <f t="shared" si="7"/>
        <v>7694.6976744186049</v>
      </c>
      <c r="F24" s="486">
        <f t="shared" si="8"/>
        <v>277723.03400901979</v>
      </c>
      <c r="G24" s="487">
        <f t="shared" si="9"/>
        <v>40091.154041565169</v>
      </c>
      <c r="H24" s="456">
        <f t="shared" si="10"/>
        <v>40091.154041565169</v>
      </c>
      <c r="I24" s="476">
        <f t="shared" si="0"/>
        <v>0</v>
      </c>
      <c r="J24" s="476"/>
      <c r="K24" s="488"/>
      <c r="L24" s="479">
        <f t="shared" si="1"/>
        <v>0</v>
      </c>
      <c r="M24" s="488"/>
      <c r="N24" s="479">
        <f t="shared" si="2"/>
        <v>0</v>
      </c>
      <c r="O24" s="479">
        <f t="shared" si="3"/>
        <v>0</v>
      </c>
      <c r="P24" s="243"/>
    </row>
    <row r="25" spans="2:16" ht="12.5">
      <c r="B25" s="160" t="str">
        <f t="shared" si="5"/>
        <v/>
      </c>
      <c r="C25" s="473">
        <f>IF(D11="","-",+C24+1)</f>
        <v>2025</v>
      </c>
      <c r="D25" s="484">
        <f>IF(F24+SUM(E$17:E24)=D$10,F24,D$10-SUM(E$17:E24))</f>
        <v>277723.03400901979</v>
      </c>
      <c r="E25" s="485">
        <f t="shared" si="7"/>
        <v>7694.6976744186049</v>
      </c>
      <c r="F25" s="486">
        <f t="shared" si="8"/>
        <v>270028.33633460116</v>
      </c>
      <c r="G25" s="487">
        <f t="shared" si="9"/>
        <v>39205.830326237388</v>
      </c>
      <c r="H25" s="456">
        <f t="shared" si="10"/>
        <v>39205.830326237388</v>
      </c>
      <c r="I25" s="476">
        <f t="shared" si="0"/>
        <v>0</v>
      </c>
      <c r="J25" s="476"/>
      <c r="K25" s="488"/>
      <c r="L25" s="479">
        <f t="shared" si="1"/>
        <v>0</v>
      </c>
      <c r="M25" s="488"/>
      <c r="N25" s="479">
        <f t="shared" si="2"/>
        <v>0</v>
      </c>
      <c r="O25" s="479">
        <f t="shared" si="3"/>
        <v>0</v>
      </c>
      <c r="P25" s="243"/>
    </row>
    <row r="26" spans="2:16" ht="12.5">
      <c r="B26" s="160" t="str">
        <f t="shared" si="5"/>
        <v/>
      </c>
      <c r="C26" s="473">
        <f>IF(D11="","-",+C25+1)</f>
        <v>2026</v>
      </c>
      <c r="D26" s="484">
        <f>IF(F25+SUM(E$17:E25)=D$10,F25,D$10-SUM(E$17:E25))</f>
        <v>270028.33633460116</v>
      </c>
      <c r="E26" s="485">
        <f t="shared" si="7"/>
        <v>7694.6976744186049</v>
      </c>
      <c r="F26" s="486">
        <f t="shared" si="8"/>
        <v>262333.63866018254</v>
      </c>
      <c r="G26" s="487">
        <f t="shared" si="9"/>
        <v>38320.506610909622</v>
      </c>
      <c r="H26" s="456">
        <f t="shared" si="10"/>
        <v>38320.506610909622</v>
      </c>
      <c r="I26" s="476">
        <f t="shared" si="0"/>
        <v>0</v>
      </c>
      <c r="J26" s="476"/>
      <c r="K26" s="488"/>
      <c r="L26" s="479">
        <f t="shared" si="1"/>
        <v>0</v>
      </c>
      <c r="M26" s="488"/>
      <c r="N26" s="479">
        <f t="shared" si="2"/>
        <v>0</v>
      </c>
      <c r="O26" s="479">
        <f t="shared" si="3"/>
        <v>0</v>
      </c>
      <c r="P26" s="243"/>
    </row>
    <row r="27" spans="2:16" ht="12.5">
      <c r="B27" s="160" t="str">
        <f t="shared" si="5"/>
        <v/>
      </c>
      <c r="C27" s="473">
        <f>IF(D11="","-",+C26+1)</f>
        <v>2027</v>
      </c>
      <c r="D27" s="484">
        <f>IF(F26+SUM(E$17:E26)=D$10,F26,D$10-SUM(E$17:E26))</f>
        <v>262333.63866018254</v>
      </c>
      <c r="E27" s="485">
        <f t="shared" si="7"/>
        <v>7694.6976744186049</v>
      </c>
      <c r="F27" s="486">
        <f t="shared" si="8"/>
        <v>254638.94098576394</v>
      </c>
      <c r="G27" s="487">
        <f t="shared" si="9"/>
        <v>37435.182895581849</v>
      </c>
      <c r="H27" s="456">
        <f t="shared" si="10"/>
        <v>37435.182895581849</v>
      </c>
      <c r="I27" s="476">
        <f t="shared" si="0"/>
        <v>0</v>
      </c>
      <c r="J27" s="476"/>
      <c r="K27" s="488"/>
      <c r="L27" s="479">
        <f t="shared" si="1"/>
        <v>0</v>
      </c>
      <c r="M27" s="488"/>
      <c r="N27" s="479">
        <f t="shared" si="2"/>
        <v>0</v>
      </c>
      <c r="O27" s="479">
        <f t="shared" si="3"/>
        <v>0</v>
      </c>
      <c r="P27" s="243"/>
    </row>
    <row r="28" spans="2:16" ht="12.5">
      <c r="B28" s="160" t="str">
        <f t="shared" si="5"/>
        <v/>
      </c>
      <c r="C28" s="473">
        <f>IF(D11="","-",+C27+1)</f>
        <v>2028</v>
      </c>
      <c r="D28" s="484">
        <f>IF(F27+SUM(E$17:E27)=D$10,F27,D$10-SUM(E$17:E27))</f>
        <v>254638.94098576394</v>
      </c>
      <c r="E28" s="485">
        <f t="shared" si="7"/>
        <v>7694.6976744186049</v>
      </c>
      <c r="F28" s="486">
        <f t="shared" si="8"/>
        <v>246944.24331134534</v>
      </c>
      <c r="G28" s="487">
        <f t="shared" si="9"/>
        <v>36549.859180254076</v>
      </c>
      <c r="H28" s="456">
        <f t="shared" si="10"/>
        <v>36549.859180254076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5"/>
        <v/>
      </c>
      <c r="C29" s="473">
        <f>IF(D11="","-",+C28+1)</f>
        <v>2029</v>
      </c>
      <c r="D29" s="484">
        <f>IF(F28+SUM(E$17:E28)=D$10,F28,D$10-SUM(E$17:E28))</f>
        <v>246944.24331134534</v>
      </c>
      <c r="E29" s="485">
        <f t="shared" si="7"/>
        <v>7694.6976744186049</v>
      </c>
      <c r="F29" s="486">
        <f t="shared" si="8"/>
        <v>239249.54563692675</v>
      </c>
      <c r="G29" s="487">
        <f t="shared" si="9"/>
        <v>35664.53546492631</v>
      </c>
      <c r="H29" s="456">
        <f t="shared" si="10"/>
        <v>35664.53546492631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5"/>
        <v/>
      </c>
      <c r="C30" s="473">
        <f>IF(D11="","-",+C29+1)</f>
        <v>2030</v>
      </c>
      <c r="D30" s="484">
        <f>IF(F29+SUM(E$17:E29)=D$10,F29,D$10-SUM(E$17:E29))</f>
        <v>239249.54563692675</v>
      </c>
      <c r="E30" s="485">
        <f t="shared" si="7"/>
        <v>7694.6976744186049</v>
      </c>
      <c r="F30" s="486">
        <f t="shared" si="8"/>
        <v>231554.84796250815</v>
      </c>
      <c r="G30" s="487">
        <f t="shared" si="9"/>
        <v>34779.211749598537</v>
      </c>
      <c r="H30" s="456">
        <f t="shared" si="10"/>
        <v>34779.211749598537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5"/>
        <v/>
      </c>
      <c r="C31" s="473">
        <f>IF(D11="","-",+C30+1)</f>
        <v>2031</v>
      </c>
      <c r="D31" s="484">
        <f>IF(F30+SUM(E$17:E30)=D$10,F30,D$10-SUM(E$17:E30))</f>
        <v>231554.84796250815</v>
      </c>
      <c r="E31" s="485">
        <f t="shared" si="7"/>
        <v>7694.6976744186049</v>
      </c>
      <c r="F31" s="486">
        <f t="shared" si="8"/>
        <v>223860.15028808956</v>
      </c>
      <c r="G31" s="487">
        <f t="shared" si="9"/>
        <v>33893.888034270771</v>
      </c>
      <c r="H31" s="456">
        <f t="shared" si="10"/>
        <v>33893.888034270771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5"/>
        <v/>
      </c>
      <c r="C32" s="473">
        <f>IF(D11="","-",+C31+1)</f>
        <v>2032</v>
      </c>
      <c r="D32" s="484">
        <f>IF(F31+SUM(E$17:E31)=D$10,F31,D$10-SUM(E$17:E31))</f>
        <v>223860.15028808956</v>
      </c>
      <c r="E32" s="485">
        <f t="shared" si="7"/>
        <v>7694.6976744186049</v>
      </c>
      <c r="F32" s="486">
        <f t="shared" si="8"/>
        <v>216165.45261367096</v>
      </c>
      <c r="G32" s="487">
        <f t="shared" si="9"/>
        <v>33008.564318942997</v>
      </c>
      <c r="H32" s="456">
        <f t="shared" si="10"/>
        <v>33008.564318942997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5"/>
        <v/>
      </c>
      <c r="C33" s="473">
        <f>IF(D11="","-",+C32+1)</f>
        <v>2033</v>
      </c>
      <c r="D33" s="484">
        <f>IF(F32+SUM(E$17:E32)=D$10,F32,D$10-SUM(E$17:E32))</f>
        <v>216165.45261367096</v>
      </c>
      <c r="E33" s="485">
        <f t="shared" si="7"/>
        <v>7694.6976744186049</v>
      </c>
      <c r="F33" s="486">
        <f t="shared" si="8"/>
        <v>208470.75493925237</v>
      </c>
      <c r="G33" s="487">
        <f t="shared" si="9"/>
        <v>32123.240603615232</v>
      </c>
      <c r="H33" s="456">
        <f t="shared" si="10"/>
        <v>32123.240603615232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5"/>
        <v/>
      </c>
      <c r="C34" s="473">
        <f>IF(D11="","-",+C33+1)</f>
        <v>2034</v>
      </c>
      <c r="D34" s="484">
        <f>IF(F33+SUM(E$17:E33)=D$10,F33,D$10-SUM(E$17:E33))</f>
        <v>208470.75493925237</v>
      </c>
      <c r="E34" s="485">
        <f t="shared" si="7"/>
        <v>7694.6976744186049</v>
      </c>
      <c r="F34" s="486">
        <f t="shared" si="8"/>
        <v>200776.05726483377</v>
      </c>
      <c r="G34" s="487">
        <f t="shared" si="9"/>
        <v>31237.916888287458</v>
      </c>
      <c r="H34" s="456">
        <f t="shared" si="10"/>
        <v>31237.916888287458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5"/>
        <v/>
      </c>
      <c r="C35" s="473">
        <f>IF(D11="","-",+C34+1)</f>
        <v>2035</v>
      </c>
      <c r="D35" s="484">
        <f>IF(F34+SUM(E$17:E34)=D$10,F34,D$10-SUM(E$17:E34))</f>
        <v>200776.05726483377</v>
      </c>
      <c r="E35" s="485">
        <f t="shared" si="7"/>
        <v>7694.6976744186049</v>
      </c>
      <c r="F35" s="486">
        <f t="shared" si="8"/>
        <v>193081.35959041517</v>
      </c>
      <c r="G35" s="487">
        <f t="shared" si="9"/>
        <v>30352.593172959692</v>
      </c>
      <c r="H35" s="456">
        <f t="shared" si="10"/>
        <v>30352.593172959692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5"/>
        <v/>
      </c>
      <c r="C36" s="473">
        <f>IF(D11="","-",+C35+1)</f>
        <v>2036</v>
      </c>
      <c r="D36" s="484">
        <f>IF(F35+SUM(E$17:E35)=D$10,F35,D$10-SUM(E$17:E35))</f>
        <v>193081.35959041517</v>
      </c>
      <c r="E36" s="485">
        <f t="shared" si="7"/>
        <v>7694.6976744186049</v>
      </c>
      <c r="F36" s="486">
        <f t="shared" si="8"/>
        <v>185386.66191599658</v>
      </c>
      <c r="G36" s="487">
        <f t="shared" si="9"/>
        <v>29467.269457631919</v>
      </c>
      <c r="H36" s="456">
        <f t="shared" si="10"/>
        <v>29467.269457631919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5"/>
        <v/>
      </c>
      <c r="C37" s="473">
        <f>IF(D11="","-",+C36+1)</f>
        <v>2037</v>
      </c>
      <c r="D37" s="484">
        <f>IF(F36+SUM(E$17:E36)=D$10,F36,D$10-SUM(E$17:E36))</f>
        <v>185386.66191599658</v>
      </c>
      <c r="E37" s="485">
        <f t="shared" si="7"/>
        <v>7694.6976744186049</v>
      </c>
      <c r="F37" s="486">
        <f t="shared" si="8"/>
        <v>177691.96424157798</v>
      </c>
      <c r="G37" s="487">
        <f t="shared" si="9"/>
        <v>28581.945742304153</v>
      </c>
      <c r="H37" s="456">
        <f t="shared" si="10"/>
        <v>28581.945742304153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5"/>
        <v/>
      </c>
      <c r="C38" s="473">
        <f>IF(D11="","-",+C37+1)</f>
        <v>2038</v>
      </c>
      <c r="D38" s="484">
        <f>IF(F37+SUM(E$17:E37)=D$10,F37,D$10-SUM(E$17:E37))</f>
        <v>177691.96424157798</v>
      </c>
      <c r="E38" s="485">
        <f t="shared" si="7"/>
        <v>7694.6976744186049</v>
      </c>
      <c r="F38" s="486">
        <f t="shared" si="8"/>
        <v>169997.26656715939</v>
      </c>
      <c r="G38" s="487">
        <f t="shared" si="9"/>
        <v>27696.62202697638</v>
      </c>
      <c r="H38" s="456">
        <f t="shared" si="10"/>
        <v>27696.62202697638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5"/>
        <v/>
      </c>
      <c r="C39" s="473">
        <f>IF(D11="","-",+C38+1)</f>
        <v>2039</v>
      </c>
      <c r="D39" s="484">
        <f>IF(F38+SUM(E$17:E38)=D$10,F38,D$10-SUM(E$17:E38))</f>
        <v>169997.26656715939</v>
      </c>
      <c r="E39" s="485">
        <f t="shared" si="7"/>
        <v>7694.6976744186049</v>
      </c>
      <c r="F39" s="486">
        <f t="shared" si="8"/>
        <v>162302.56889274079</v>
      </c>
      <c r="G39" s="487">
        <f t="shared" si="9"/>
        <v>26811.298311648607</v>
      </c>
      <c r="H39" s="456">
        <f t="shared" si="10"/>
        <v>26811.298311648607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5"/>
        <v/>
      </c>
      <c r="C40" s="473">
        <f>IF(D11="","-",+C39+1)</f>
        <v>2040</v>
      </c>
      <c r="D40" s="484">
        <f>IF(F39+SUM(E$17:E39)=D$10,F39,D$10-SUM(E$17:E39))</f>
        <v>162302.56889274079</v>
      </c>
      <c r="E40" s="485">
        <f t="shared" si="7"/>
        <v>7694.6976744186049</v>
      </c>
      <c r="F40" s="486">
        <f t="shared" si="8"/>
        <v>154607.87121832219</v>
      </c>
      <c r="G40" s="487">
        <f t="shared" si="9"/>
        <v>25925.974596320833</v>
      </c>
      <c r="H40" s="456">
        <f t="shared" si="10"/>
        <v>25925.974596320833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5"/>
        <v/>
      </c>
      <c r="C41" s="473">
        <f>IF(D11="","-",+C40+1)</f>
        <v>2041</v>
      </c>
      <c r="D41" s="484">
        <f>IF(F40+SUM(E$17:E40)=D$10,F40,D$10-SUM(E$17:E40))</f>
        <v>154607.87121832219</v>
      </c>
      <c r="E41" s="485">
        <f t="shared" si="7"/>
        <v>7694.6976744186049</v>
      </c>
      <c r="F41" s="486">
        <f t="shared" si="8"/>
        <v>146913.1735439036</v>
      </c>
      <c r="G41" s="487">
        <f t="shared" si="9"/>
        <v>25040.650880993067</v>
      </c>
      <c r="H41" s="456">
        <f t="shared" si="10"/>
        <v>25040.650880993067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5"/>
        <v/>
      </c>
      <c r="C42" s="473">
        <f>IF(D11="","-",+C41+1)</f>
        <v>2042</v>
      </c>
      <c r="D42" s="484">
        <f>IF(F41+SUM(E$17:E41)=D$10,F41,D$10-SUM(E$17:E41))</f>
        <v>146913.1735439036</v>
      </c>
      <c r="E42" s="485">
        <f t="shared" si="7"/>
        <v>7694.6976744186049</v>
      </c>
      <c r="F42" s="486">
        <f t="shared" si="8"/>
        <v>139218.475869485</v>
      </c>
      <c r="G42" s="487">
        <f t="shared" si="9"/>
        <v>24155.327165665294</v>
      </c>
      <c r="H42" s="456">
        <f t="shared" si="10"/>
        <v>24155.327165665294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5"/>
        <v/>
      </c>
      <c r="C43" s="473">
        <f>IF(D11="","-",+C42+1)</f>
        <v>2043</v>
      </c>
      <c r="D43" s="484">
        <f>IF(F42+SUM(E$17:E42)=D$10,F42,D$10-SUM(E$17:E42))</f>
        <v>139218.475869485</v>
      </c>
      <c r="E43" s="485">
        <f t="shared" si="7"/>
        <v>7694.6976744186049</v>
      </c>
      <c r="F43" s="486">
        <f t="shared" si="8"/>
        <v>131523.77819506641</v>
      </c>
      <c r="G43" s="487">
        <f t="shared" si="9"/>
        <v>23270.003450337528</v>
      </c>
      <c r="H43" s="456">
        <f t="shared" si="10"/>
        <v>23270.003450337528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5"/>
        <v/>
      </c>
      <c r="C44" s="473">
        <f>IF(D11="","-",+C43+1)</f>
        <v>2044</v>
      </c>
      <c r="D44" s="484">
        <f>IF(F43+SUM(E$17:E43)=D$10,F43,D$10-SUM(E$17:E43))</f>
        <v>131523.77819506641</v>
      </c>
      <c r="E44" s="485">
        <f t="shared" si="7"/>
        <v>7694.6976744186049</v>
      </c>
      <c r="F44" s="486">
        <f t="shared" si="8"/>
        <v>123829.0805206478</v>
      </c>
      <c r="G44" s="487">
        <f t="shared" si="9"/>
        <v>22384.679735009755</v>
      </c>
      <c r="H44" s="456">
        <f t="shared" si="10"/>
        <v>22384.679735009755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5"/>
        <v/>
      </c>
      <c r="C45" s="473">
        <f>IF(D11="","-",+C44+1)</f>
        <v>2045</v>
      </c>
      <c r="D45" s="484">
        <f>IF(F44+SUM(E$17:E44)=D$10,F44,D$10-SUM(E$17:E44))</f>
        <v>123829.0805206478</v>
      </c>
      <c r="E45" s="485">
        <f t="shared" si="7"/>
        <v>7694.6976744186049</v>
      </c>
      <c r="F45" s="486">
        <f t="shared" si="8"/>
        <v>116134.38284622919</v>
      </c>
      <c r="G45" s="487">
        <f t="shared" si="9"/>
        <v>21499.356019681985</v>
      </c>
      <c r="H45" s="456">
        <f t="shared" si="10"/>
        <v>21499.356019681985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5"/>
        <v/>
      </c>
      <c r="C46" s="473">
        <f>IF(D11="","-",+C45+1)</f>
        <v>2046</v>
      </c>
      <c r="D46" s="484">
        <f>IF(F45+SUM(E$17:E45)=D$10,F45,D$10-SUM(E$17:E45))</f>
        <v>116134.38284622919</v>
      </c>
      <c r="E46" s="485">
        <f t="shared" si="7"/>
        <v>7694.6976744186049</v>
      </c>
      <c r="F46" s="486">
        <f t="shared" si="8"/>
        <v>108439.68517181058</v>
      </c>
      <c r="G46" s="487">
        <f t="shared" si="9"/>
        <v>20614.032304354212</v>
      </c>
      <c r="H46" s="456">
        <f t="shared" si="10"/>
        <v>20614.032304354212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5"/>
        <v/>
      </c>
      <c r="C47" s="473">
        <f>IF(D11="","-",+C46+1)</f>
        <v>2047</v>
      </c>
      <c r="D47" s="484">
        <f>IF(F46+SUM(E$17:E46)=D$10,F46,D$10-SUM(E$17:E46))</f>
        <v>108439.68517181058</v>
      </c>
      <c r="E47" s="485">
        <f t="shared" si="7"/>
        <v>7694.6976744186049</v>
      </c>
      <c r="F47" s="486">
        <f t="shared" si="8"/>
        <v>100744.98749739197</v>
      </c>
      <c r="G47" s="487">
        <f t="shared" si="9"/>
        <v>19728.708589026442</v>
      </c>
      <c r="H47" s="456">
        <f t="shared" si="10"/>
        <v>19728.708589026442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5"/>
        <v/>
      </c>
      <c r="C48" s="473">
        <f>IF(D11="","-",+C47+1)</f>
        <v>2048</v>
      </c>
      <c r="D48" s="484">
        <f>IF(F47+SUM(E$17:E47)=D$10,F47,D$10-SUM(E$17:E47))</f>
        <v>100744.98749739197</v>
      </c>
      <c r="E48" s="485">
        <f t="shared" si="7"/>
        <v>7694.6976744186049</v>
      </c>
      <c r="F48" s="486">
        <f t="shared" si="8"/>
        <v>93050.289822973355</v>
      </c>
      <c r="G48" s="487">
        <f t="shared" si="9"/>
        <v>18843.384873698669</v>
      </c>
      <c r="H48" s="456">
        <f t="shared" si="10"/>
        <v>18843.384873698669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5"/>
        <v/>
      </c>
      <c r="C49" s="473">
        <f>IF(D11="","-",+C48+1)</f>
        <v>2049</v>
      </c>
      <c r="D49" s="484">
        <f>IF(F48+SUM(E$17:E48)=D$10,F48,D$10-SUM(E$17:E48))</f>
        <v>93050.289822973355</v>
      </c>
      <c r="E49" s="485">
        <f t="shared" si="7"/>
        <v>7694.6976744186049</v>
      </c>
      <c r="F49" s="486">
        <f t="shared" si="8"/>
        <v>85355.592148554744</v>
      </c>
      <c r="G49" s="487">
        <f t="shared" si="9"/>
        <v>17958.0611583709</v>
      </c>
      <c r="H49" s="456">
        <f t="shared" si="10"/>
        <v>17958.0611583709</v>
      </c>
      <c r="I49" s="476">
        <f t="shared" si="0"/>
        <v>0</v>
      </c>
      <c r="J49" s="476"/>
      <c r="K49" s="488"/>
      <c r="L49" s="479">
        <f t="shared" si="1"/>
        <v>0</v>
      </c>
      <c r="M49" s="488"/>
      <c r="N49" s="479">
        <f t="shared" si="2"/>
        <v>0</v>
      </c>
      <c r="O49" s="479">
        <f t="shared" si="3"/>
        <v>0</v>
      </c>
      <c r="P49" s="243"/>
    </row>
    <row r="50" spans="2:16" ht="12.5">
      <c r="B50" s="160" t="str">
        <f t="shared" si="5"/>
        <v/>
      </c>
      <c r="C50" s="473">
        <f>IF(D11="","-",+C49+1)</f>
        <v>2050</v>
      </c>
      <c r="D50" s="484">
        <f>IF(F49+SUM(E$17:E49)=D$10,F49,D$10-SUM(E$17:E49))</f>
        <v>85355.592148554744</v>
      </c>
      <c r="E50" s="485">
        <f t="shared" si="7"/>
        <v>7694.6976744186049</v>
      </c>
      <c r="F50" s="486">
        <f t="shared" si="8"/>
        <v>77660.894474136134</v>
      </c>
      <c r="G50" s="487">
        <f t="shared" si="9"/>
        <v>17072.737443043126</v>
      </c>
      <c r="H50" s="456">
        <f t="shared" si="10"/>
        <v>17072.737443043126</v>
      </c>
      <c r="I50" s="476">
        <f t="shared" si="0"/>
        <v>0</v>
      </c>
      <c r="J50" s="476"/>
      <c r="K50" s="488"/>
      <c r="L50" s="479">
        <f t="shared" si="1"/>
        <v>0</v>
      </c>
      <c r="M50" s="488"/>
      <c r="N50" s="479">
        <f t="shared" si="2"/>
        <v>0</v>
      </c>
      <c r="O50" s="479">
        <f t="shared" si="3"/>
        <v>0</v>
      </c>
      <c r="P50" s="243"/>
    </row>
    <row r="51" spans="2:16" ht="12.5">
      <c r="B51" s="160" t="str">
        <f t="shared" si="5"/>
        <v/>
      </c>
      <c r="C51" s="473">
        <f>IF(D11="","-",+C50+1)</f>
        <v>2051</v>
      </c>
      <c r="D51" s="484">
        <f>IF(F50+SUM(E$17:E50)=D$10,F50,D$10-SUM(E$17:E50))</f>
        <v>77660.894474136134</v>
      </c>
      <c r="E51" s="485">
        <f t="shared" si="7"/>
        <v>7694.6976744186049</v>
      </c>
      <c r="F51" s="486">
        <f t="shared" si="8"/>
        <v>69966.196799717523</v>
      </c>
      <c r="G51" s="487">
        <f t="shared" si="9"/>
        <v>16187.413727715355</v>
      </c>
      <c r="H51" s="456">
        <f t="shared" si="10"/>
        <v>16187.413727715355</v>
      </c>
      <c r="I51" s="476">
        <f t="shared" si="0"/>
        <v>0</v>
      </c>
      <c r="J51" s="476"/>
      <c r="K51" s="488"/>
      <c r="L51" s="479">
        <f t="shared" si="1"/>
        <v>0</v>
      </c>
      <c r="M51" s="488"/>
      <c r="N51" s="479">
        <f t="shared" si="2"/>
        <v>0</v>
      </c>
      <c r="O51" s="479">
        <f t="shared" si="3"/>
        <v>0</v>
      </c>
      <c r="P51" s="243"/>
    </row>
    <row r="52" spans="2:16" ht="12.5">
      <c r="B52" s="160" t="str">
        <f t="shared" si="5"/>
        <v/>
      </c>
      <c r="C52" s="473">
        <f>IF(D11="","-",+C51+1)</f>
        <v>2052</v>
      </c>
      <c r="D52" s="484">
        <f>IF(F51+SUM(E$17:E51)=D$10,F51,D$10-SUM(E$17:E51))</f>
        <v>69966.196799717523</v>
      </c>
      <c r="E52" s="485">
        <f t="shared" si="7"/>
        <v>7694.6976744186049</v>
      </c>
      <c r="F52" s="486">
        <f t="shared" si="8"/>
        <v>62271.49912529892</v>
      </c>
      <c r="G52" s="487">
        <f t="shared" si="9"/>
        <v>15302.090012387584</v>
      </c>
      <c r="H52" s="456">
        <f t="shared" si="10"/>
        <v>15302.090012387584</v>
      </c>
      <c r="I52" s="476">
        <f t="shared" si="0"/>
        <v>0</v>
      </c>
      <c r="J52" s="476"/>
      <c r="K52" s="488"/>
      <c r="L52" s="479">
        <f t="shared" si="1"/>
        <v>0</v>
      </c>
      <c r="M52" s="488"/>
      <c r="N52" s="479">
        <f t="shared" si="2"/>
        <v>0</v>
      </c>
      <c r="O52" s="479">
        <f t="shared" si="3"/>
        <v>0</v>
      </c>
      <c r="P52" s="243"/>
    </row>
    <row r="53" spans="2:16" ht="12.5">
      <c r="B53" s="160" t="str">
        <f t="shared" si="5"/>
        <v/>
      </c>
      <c r="C53" s="473">
        <f>IF(D11="","-",+C52+1)</f>
        <v>2053</v>
      </c>
      <c r="D53" s="484">
        <f>IF(F52+SUM(E$17:E52)=D$10,F52,D$10-SUM(E$17:E52))</f>
        <v>62271.49912529892</v>
      </c>
      <c r="E53" s="485">
        <f t="shared" si="7"/>
        <v>7694.6976744186049</v>
      </c>
      <c r="F53" s="486">
        <f t="shared" si="8"/>
        <v>54576.801450880317</v>
      </c>
      <c r="G53" s="487">
        <f t="shared" si="9"/>
        <v>14416.766297059812</v>
      </c>
      <c r="H53" s="456">
        <f t="shared" si="10"/>
        <v>14416.766297059812</v>
      </c>
      <c r="I53" s="476">
        <f t="shared" si="0"/>
        <v>0</v>
      </c>
      <c r="J53" s="476"/>
      <c r="K53" s="488"/>
      <c r="L53" s="479">
        <f t="shared" si="1"/>
        <v>0</v>
      </c>
      <c r="M53" s="488"/>
      <c r="N53" s="479">
        <f t="shared" si="2"/>
        <v>0</v>
      </c>
      <c r="O53" s="479">
        <f t="shared" si="3"/>
        <v>0</v>
      </c>
      <c r="P53" s="243"/>
    </row>
    <row r="54" spans="2:16" ht="12.5">
      <c r="B54" s="160" t="str">
        <f t="shared" si="5"/>
        <v/>
      </c>
      <c r="C54" s="473">
        <f>IF(D11="","-",+C53+1)</f>
        <v>2054</v>
      </c>
      <c r="D54" s="484">
        <f>IF(F53+SUM(E$17:E53)=D$10,F53,D$10-SUM(E$17:E53))</f>
        <v>54576.801450880317</v>
      </c>
      <c r="E54" s="485">
        <f t="shared" si="7"/>
        <v>7694.6976744186049</v>
      </c>
      <c r="F54" s="486">
        <f t="shared" si="8"/>
        <v>46882.103776461714</v>
      </c>
      <c r="G54" s="487">
        <f t="shared" si="9"/>
        <v>13531.442581732041</v>
      </c>
      <c r="H54" s="456">
        <f t="shared" si="10"/>
        <v>13531.442581732041</v>
      </c>
      <c r="I54" s="476">
        <f t="shared" si="0"/>
        <v>0</v>
      </c>
      <c r="J54" s="476"/>
      <c r="K54" s="488"/>
      <c r="L54" s="479">
        <f t="shared" si="1"/>
        <v>0</v>
      </c>
      <c r="M54" s="488"/>
      <c r="N54" s="479">
        <f t="shared" si="2"/>
        <v>0</v>
      </c>
      <c r="O54" s="479">
        <f t="shared" si="3"/>
        <v>0</v>
      </c>
      <c r="P54" s="243"/>
    </row>
    <row r="55" spans="2:16" ht="12.5">
      <c r="B55" s="160" t="str">
        <f t="shared" si="5"/>
        <v/>
      </c>
      <c r="C55" s="473">
        <f>IF(D11="","-",+C54+1)</f>
        <v>2055</v>
      </c>
      <c r="D55" s="484">
        <f>IF(F54+SUM(E$17:E54)=D$10,F54,D$10-SUM(E$17:E54))</f>
        <v>46882.103776461714</v>
      </c>
      <c r="E55" s="485">
        <f t="shared" si="7"/>
        <v>7694.6976744186049</v>
      </c>
      <c r="F55" s="486">
        <f t="shared" si="8"/>
        <v>39187.406102043111</v>
      </c>
      <c r="G55" s="487">
        <f t="shared" si="9"/>
        <v>12646.118866404271</v>
      </c>
      <c r="H55" s="456">
        <f t="shared" si="10"/>
        <v>12646.118866404271</v>
      </c>
      <c r="I55" s="476">
        <f t="shared" si="0"/>
        <v>0</v>
      </c>
      <c r="J55" s="476"/>
      <c r="K55" s="488"/>
      <c r="L55" s="479">
        <f t="shared" si="1"/>
        <v>0</v>
      </c>
      <c r="M55" s="488"/>
      <c r="N55" s="479">
        <f t="shared" si="2"/>
        <v>0</v>
      </c>
      <c r="O55" s="479">
        <f t="shared" si="3"/>
        <v>0</v>
      </c>
      <c r="P55" s="243"/>
    </row>
    <row r="56" spans="2:16" ht="12.5">
      <c r="B56" s="160" t="str">
        <f t="shared" si="5"/>
        <v/>
      </c>
      <c r="C56" s="473">
        <f>IF(D11="","-",+C55+1)</f>
        <v>2056</v>
      </c>
      <c r="D56" s="484">
        <f>IF(F55+SUM(E$17:E55)=D$10,F55,D$10-SUM(E$17:E55))</f>
        <v>39187.406102043111</v>
      </c>
      <c r="E56" s="485">
        <f t="shared" si="7"/>
        <v>7694.6976744186049</v>
      </c>
      <c r="F56" s="486">
        <f t="shared" si="8"/>
        <v>31492.708427624508</v>
      </c>
      <c r="G56" s="487">
        <f t="shared" si="9"/>
        <v>11760.7951510765</v>
      </c>
      <c r="H56" s="456">
        <f t="shared" si="10"/>
        <v>11760.7951510765</v>
      </c>
      <c r="I56" s="476">
        <f t="shared" si="0"/>
        <v>0</v>
      </c>
      <c r="J56" s="476"/>
      <c r="K56" s="488"/>
      <c r="L56" s="479">
        <f t="shared" si="1"/>
        <v>0</v>
      </c>
      <c r="M56" s="488"/>
      <c r="N56" s="479">
        <f t="shared" si="2"/>
        <v>0</v>
      </c>
      <c r="O56" s="479">
        <f t="shared" si="3"/>
        <v>0</v>
      </c>
      <c r="P56" s="243"/>
    </row>
    <row r="57" spans="2:16" ht="12.5">
      <c r="B57" s="160" t="str">
        <f t="shared" si="5"/>
        <v/>
      </c>
      <c r="C57" s="473">
        <f>IF(D11="","-",+C56+1)</f>
        <v>2057</v>
      </c>
      <c r="D57" s="484">
        <f>IF(F56+SUM(E$17:E56)=D$10,F56,D$10-SUM(E$17:E56))</f>
        <v>31492.708427624508</v>
      </c>
      <c r="E57" s="485">
        <f t="shared" si="7"/>
        <v>7694.6976744186049</v>
      </c>
      <c r="F57" s="486">
        <f t="shared" si="8"/>
        <v>23798.010753205905</v>
      </c>
      <c r="G57" s="487">
        <f t="shared" si="9"/>
        <v>10875.471435748728</v>
      </c>
      <c r="H57" s="456">
        <f t="shared" si="10"/>
        <v>10875.471435748728</v>
      </c>
      <c r="I57" s="476">
        <f t="shared" si="0"/>
        <v>0</v>
      </c>
      <c r="J57" s="476"/>
      <c r="K57" s="488"/>
      <c r="L57" s="479">
        <f t="shared" si="1"/>
        <v>0</v>
      </c>
      <c r="M57" s="488"/>
      <c r="N57" s="479">
        <f t="shared" si="2"/>
        <v>0</v>
      </c>
      <c r="O57" s="479">
        <f t="shared" si="3"/>
        <v>0</v>
      </c>
      <c r="P57" s="243"/>
    </row>
    <row r="58" spans="2:16" ht="12.5">
      <c r="B58" s="160" t="str">
        <f t="shared" si="5"/>
        <v/>
      </c>
      <c r="C58" s="473">
        <f>IF(D11="","-",+C57+1)</f>
        <v>2058</v>
      </c>
      <c r="D58" s="484">
        <f>IF(F57+SUM(E$17:E57)=D$10,F57,D$10-SUM(E$17:E57))</f>
        <v>23798.010753205905</v>
      </c>
      <c r="E58" s="485">
        <f t="shared" si="7"/>
        <v>7694.6976744186049</v>
      </c>
      <c r="F58" s="486">
        <f t="shared" si="8"/>
        <v>16103.3130787873</v>
      </c>
      <c r="G58" s="487">
        <f t="shared" si="9"/>
        <v>9990.1477204209586</v>
      </c>
      <c r="H58" s="456">
        <f t="shared" si="10"/>
        <v>9990.1477204209586</v>
      </c>
      <c r="I58" s="476">
        <f t="shared" si="0"/>
        <v>0</v>
      </c>
      <c r="J58" s="476"/>
      <c r="K58" s="488"/>
      <c r="L58" s="479">
        <f t="shared" si="1"/>
        <v>0</v>
      </c>
      <c r="M58" s="488"/>
      <c r="N58" s="479">
        <f t="shared" si="2"/>
        <v>0</v>
      </c>
      <c r="O58" s="479">
        <f t="shared" si="3"/>
        <v>0</v>
      </c>
      <c r="P58" s="243"/>
    </row>
    <row r="59" spans="2:16" ht="12.5">
      <c r="B59" s="160" t="str">
        <f t="shared" si="5"/>
        <v/>
      </c>
      <c r="C59" s="473">
        <f>IF(D11="","-",+C58+1)</f>
        <v>2059</v>
      </c>
      <c r="D59" s="484">
        <f>IF(F58+SUM(E$17:E58)=D$10,F58,D$10-SUM(E$17:E58))</f>
        <v>16103.3130787873</v>
      </c>
      <c r="E59" s="485">
        <f t="shared" si="7"/>
        <v>7694.6976744186049</v>
      </c>
      <c r="F59" s="486">
        <f t="shared" si="8"/>
        <v>8408.6154043686947</v>
      </c>
      <c r="G59" s="487">
        <f t="shared" si="9"/>
        <v>9104.8240050931854</v>
      </c>
      <c r="H59" s="456">
        <f t="shared" si="10"/>
        <v>9104.8240050931854</v>
      </c>
      <c r="I59" s="476">
        <f t="shared" si="0"/>
        <v>0</v>
      </c>
      <c r="J59" s="476"/>
      <c r="K59" s="488"/>
      <c r="L59" s="479">
        <f t="shared" si="1"/>
        <v>0</v>
      </c>
      <c r="M59" s="488"/>
      <c r="N59" s="479">
        <f t="shared" si="2"/>
        <v>0</v>
      </c>
      <c r="O59" s="479">
        <f t="shared" si="3"/>
        <v>0</v>
      </c>
      <c r="P59" s="243"/>
    </row>
    <row r="60" spans="2:16" ht="12.5">
      <c r="B60" s="160" t="str">
        <f t="shared" si="5"/>
        <v/>
      </c>
      <c r="C60" s="473">
        <f>IF(D11="","-",+C59+1)</f>
        <v>2060</v>
      </c>
      <c r="D60" s="484">
        <f>IF(F59+SUM(E$17:E59)=D$10,F59,D$10-SUM(E$17:E59))</f>
        <v>8408.6154043686947</v>
      </c>
      <c r="E60" s="485">
        <f t="shared" si="7"/>
        <v>7694.6976744186049</v>
      </c>
      <c r="F60" s="486">
        <f t="shared" si="8"/>
        <v>713.91772995008978</v>
      </c>
      <c r="G60" s="487">
        <f t="shared" si="9"/>
        <v>8219.5002897654158</v>
      </c>
      <c r="H60" s="456">
        <f t="shared" si="10"/>
        <v>8219.5002897654158</v>
      </c>
      <c r="I60" s="476">
        <f t="shared" si="0"/>
        <v>0</v>
      </c>
      <c r="J60" s="476"/>
      <c r="K60" s="488"/>
      <c r="L60" s="479">
        <f t="shared" si="1"/>
        <v>0</v>
      </c>
      <c r="M60" s="488"/>
      <c r="N60" s="479">
        <f t="shared" si="2"/>
        <v>0</v>
      </c>
      <c r="O60" s="479">
        <f t="shared" si="3"/>
        <v>0</v>
      </c>
      <c r="P60" s="243"/>
    </row>
    <row r="61" spans="2:16" ht="12.5">
      <c r="B61" s="160" t="str">
        <f t="shared" si="5"/>
        <v/>
      </c>
      <c r="C61" s="473">
        <f>IF(D11="","-",+C60+1)</f>
        <v>2061</v>
      </c>
      <c r="D61" s="484">
        <f>IF(F60+SUM(E$17:E60)=D$10,F60,D$10-SUM(E$17:E60))</f>
        <v>713.91772995008978</v>
      </c>
      <c r="E61" s="485">
        <f t="shared" si="7"/>
        <v>713.91772995008978</v>
      </c>
      <c r="F61" s="486">
        <f t="shared" si="8"/>
        <v>0</v>
      </c>
      <c r="G61" s="487">
        <f t="shared" si="9"/>
        <v>754.98810879155212</v>
      </c>
      <c r="H61" s="456">
        <f t="shared" si="10"/>
        <v>754.98810879155212</v>
      </c>
      <c r="I61" s="476">
        <f t="shared" si="0"/>
        <v>0</v>
      </c>
      <c r="J61" s="476"/>
      <c r="K61" s="488"/>
      <c r="L61" s="479">
        <f t="shared" si="1"/>
        <v>0</v>
      </c>
      <c r="M61" s="488"/>
      <c r="N61" s="479">
        <f t="shared" si="2"/>
        <v>0</v>
      </c>
      <c r="O61" s="479">
        <f t="shared" si="3"/>
        <v>0</v>
      </c>
      <c r="P61" s="243"/>
    </row>
    <row r="62" spans="2:16" ht="12.5">
      <c r="B62" s="160" t="str">
        <f t="shared" si="5"/>
        <v/>
      </c>
      <c r="C62" s="473">
        <f>IF(D11="","-",+C61+1)</f>
        <v>2062</v>
      </c>
      <c r="D62" s="484">
        <f>IF(F61+SUM(E$17:E61)=D$10,F61,D$10-SUM(E$17:E61))</f>
        <v>0</v>
      </c>
      <c r="E62" s="485">
        <f t="shared" si="7"/>
        <v>0</v>
      </c>
      <c r="F62" s="486">
        <f t="shared" si="8"/>
        <v>0</v>
      </c>
      <c r="G62" s="487">
        <f t="shared" si="9"/>
        <v>0</v>
      </c>
      <c r="H62" s="456">
        <f t="shared" si="10"/>
        <v>0</v>
      </c>
      <c r="I62" s="476">
        <f t="shared" si="0"/>
        <v>0</v>
      </c>
      <c r="J62" s="476"/>
      <c r="K62" s="488"/>
      <c r="L62" s="479">
        <f t="shared" si="1"/>
        <v>0</v>
      </c>
      <c r="M62" s="488"/>
      <c r="N62" s="479">
        <f t="shared" si="2"/>
        <v>0</v>
      </c>
      <c r="O62" s="479">
        <f t="shared" si="3"/>
        <v>0</v>
      </c>
      <c r="P62" s="243"/>
    </row>
    <row r="63" spans="2:16" ht="12.5">
      <c r="B63" s="160" t="str">
        <f t="shared" si="5"/>
        <v/>
      </c>
      <c r="C63" s="473">
        <f>IF(D11="","-",+C62+1)</f>
        <v>2063</v>
      </c>
      <c r="D63" s="484">
        <f>IF(F62+SUM(E$17:E62)=D$10,F62,D$10-SUM(E$17:E62))</f>
        <v>0</v>
      </c>
      <c r="E63" s="485">
        <f t="shared" si="7"/>
        <v>0</v>
      </c>
      <c r="F63" s="486">
        <f t="shared" si="8"/>
        <v>0</v>
      </c>
      <c r="G63" s="487">
        <f t="shared" si="9"/>
        <v>0</v>
      </c>
      <c r="H63" s="456">
        <f t="shared" si="10"/>
        <v>0</v>
      </c>
      <c r="I63" s="476">
        <f t="shared" si="0"/>
        <v>0</v>
      </c>
      <c r="J63" s="476"/>
      <c r="K63" s="488"/>
      <c r="L63" s="479">
        <f t="shared" si="1"/>
        <v>0</v>
      </c>
      <c r="M63" s="488"/>
      <c r="N63" s="479">
        <f t="shared" si="2"/>
        <v>0</v>
      </c>
      <c r="O63" s="479">
        <f t="shared" si="3"/>
        <v>0</v>
      </c>
      <c r="P63" s="243"/>
    </row>
    <row r="64" spans="2:16" ht="12.5">
      <c r="B64" s="160" t="str">
        <f t="shared" si="5"/>
        <v/>
      </c>
      <c r="C64" s="473">
        <f>IF(D11="","-",+C63+1)</f>
        <v>2064</v>
      </c>
      <c r="D64" s="484">
        <f>IF(F63+SUM(E$17:E63)=D$10,F63,D$10-SUM(E$17:E63))</f>
        <v>0</v>
      </c>
      <c r="E64" s="485">
        <f t="shared" si="7"/>
        <v>0</v>
      </c>
      <c r="F64" s="486">
        <f t="shared" si="8"/>
        <v>0</v>
      </c>
      <c r="G64" s="487">
        <f t="shared" si="9"/>
        <v>0</v>
      </c>
      <c r="H64" s="456">
        <f t="shared" si="10"/>
        <v>0</v>
      </c>
      <c r="I64" s="476">
        <f t="shared" si="0"/>
        <v>0</v>
      </c>
      <c r="J64" s="476"/>
      <c r="K64" s="488"/>
      <c r="L64" s="479">
        <f t="shared" si="1"/>
        <v>0</v>
      </c>
      <c r="M64" s="488"/>
      <c r="N64" s="479">
        <f t="shared" si="2"/>
        <v>0</v>
      </c>
      <c r="O64" s="479">
        <f t="shared" si="3"/>
        <v>0</v>
      </c>
      <c r="P64" s="243"/>
    </row>
    <row r="65" spans="2:16" ht="12.5">
      <c r="B65" s="160" t="str">
        <f t="shared" si="5"/>
        <v/>
      </c>
      <c r="C65" s="473">
        <f>IF(D11="","-",+C64+1)</f>
        <v>2065</v>
      </c>
      <c r="D65" s="484">
        <f>IF(F64+SUM(E$17:E64)=D$10,F64,D$10-SUM(E$17:E64))</f>
        <v>0</v>
      </c>
      <c r="E65" s="485">
        <f t="shared" si="7"/>
        <v>0</v>
      </c>
      <c r="F65" s="486">
        <f t="shared" si="8"/>
        <v>0</v>
      </c>
      <c r="G65" s="487">
        <f t="shared" si="9"/>
        <v>0</v>
      </c>
      <c r="H65" s="456">
        <f t="shared" si="10"/>
        <v>0</v>
      </c>
      <c r="I65" s="476">
        <f t="shared" si="0"/>
        <v>0</v>
      </c>
      <c r="J65" s="476"/>
      <c r="K65" s="488"/>
      <c r="L65" s="479">
        <f t="shared" si="1"/>
        <v>0</v>
      </c>
      <c r="M65" s="488"/>
      <c r="N65" s="479">
        <f t="shared" si="2"/>
        <v>0</v>
      </c>
      <c r="O65" s="479">
        <f t="shared" si="3"/>
        <v>0</v>
      </c>
      <c r="P65" s="243"/>
    </row>
    <row r="66" spans="2:16" ht="12.5">
      <c r="B66" s="160" t="str">
        <f t="shared" si="5"/>
        <v/>
      </c>
      <c r="C66" s="473">
        <f>IF(D11="","-",+C65+1)</f>
        <v>2066</v>
      </c>
      <c r="D66" s="484">
        <f>IF(F65+SUM(E$17:E65)=D$10,F65,D$10-SUM(E$17:E65))</f>
        <v>0</v>
      </c>
      <c r="E66" s="485">
        <f t="shared" si="7"/>
        <v>0</v>
      </c>
      <c r="F66" s="486">
        <f t="shared" si="8"/>
        <v>0</v>
      </c>
      <c r="G66" s="487">
        <f t="shared" si="9"/>
        <v>0</v>
      </c>
      <c r="H66" s="456">
        <f t="shared" si="10"/>
        <v>0</v>
      </c>
      <c r="I66" s="476">
        <f t="shared" si="0"/>
        <v>0</v>
      </c>
      <c r="J66" s="476"/>
      <c r="K66" s="488"/>
      <c r="L66" s="479">
        <f t="shared" si="1"/>
        <v>0</v>
      </c>
      <c r="M66" s="488"/>
      <c r="N66" s="479">
        <f t="shared" si="2"/>
        <v>0</v>
      </c>
      <c r="O66" s="479">
        <f t="shared" si="3"/>
        <v>0</v>
      </c>
      <c r="P66" s="243"/>
    </row>
    <row r="67" spans="2:16" ht="12.5">
      <c r="B67" s="160" t="str">
        <f t="shared" si="5"/>
        <v/>
      </c>
      <c r="C67" s="473">
        <f>IF(D11="","-",+C66+1)</f>
        <v>2067</v>
      </c>
      <c r="D67" s="484">
        <f>IF(F66+SUM(E$17:E66)=D$10,F66,D$10-SUM(E$17:E66))</f>
        <v>0</v>
      </c>
      <c r="E67" s="485">
        <f t="shared" si="7"/>
        <v>0</v>
      </c>
      <c r="F67" s="486">
        <f t="shared" si="8"/>
        <v>0</v>
      </c>
      <c r="G67" s="487">
        <f t="shared" si="9"/>
        <v>0</v>
      </c>
      <c r="H67" s="456">
        <f t="shared" si="10"/>
        <v>0</v>
      </c>
      <c r="I67" s="476">
        <f t="shared" si="0"/>
        <v>0</v>
      </c>
      <c r="J67" s="476"/>
      <c r="K67" s="488"/>
      <c r="L67" s="479">
        <f t="shared" si="1"/>
        <v>0</v>
      </c>
      <c r="M67" s="488"/>
      <c r="N67" s="479">
        <f t="shared" si="2"/>
        <v>0</v>
      </c>
      <c r="O67" s="479">
        <f t="shared" si="3"/>
        <v>0</v>
      </c>
      <c r="P67" s="243"/>
    </row>
    <row r="68" spans="2:16" ht="12.5">
      <c r="B68" s="160" t="str">
        <f t="shared" si="5"/>
        <v/>
      </c>
      <c r="C68" s="473">
        <f>IF(D11="","-",+C67+1)</f>
        <v>2068</v>
      </c>
      <c r="D68" s="484">
        <f>IF(F67+SUM(E$17:E67)=D$10,F67,D$10-SUM(E$17:E67))</f>
        <v>0</v>
      </c>
      <c r="E68" s="485">
        <f t="shared" si="7"/>
        <v>0</v>
      </c>
      <c r="F68" s="486">
        <f t="shared" si="8"/>
        <v>0</v>
      </c>
      <c r="G68" s="487">
        <f t="shared" si="9"/>
        <v>0</v>
      </c>
      <c r="H68" s="456">
        <f t="shared" si="10"/>
        <v>0</v>
      </c>
      <c r="I68" s="476">
        <f t="shared" si="0"/>
        <v>0</v>
      </c>
      <c r="J68" s="476"/>
      <c r="K68" s="488"/>
      <c r="L68" s="479">
        <f t="shared" si="1"/>
        <v>0</v>
      </c>
      <c r="M68" s="488"/>
      <c r="N68" s="479">
        <f t="shared" si="2"/>
        <v>0</v>
      </c>
      <c r="O68" s="479">
        <f t="shared" si="3"/>
        <v>0</v>
      </c>
      <c r="P68" s="243"/>
    </row>
    <row r="69" spans="2:16" ht="12.5">
      <c r="B69" s="160" t="str">
        <f t="shared" si="5"/>
        <v/>
      </c>
      <c r="C69" s="473">
        <f>IF(D11="","-",+C68+1)</f>
        <v>2069</v>
      </c>
      <c r="D69" s="484">
        <f>IF(F68+SUM(E$17:E68)=D$10,F68,D$10-SUM(E$17:E68))</f>
        <v>0</v>
      </c>
      <c r="E69" s="485">
        <f t="shared" si="7"/>
        <v>0</v>
      </c>
      <c r="F69" s="486">
        <f t="shared" si="8"/>
        <v>0</v>
      </c>
      <c r="G69" s="487">
        <f t="shared" si="9"/>
        <v>0</v>
      </c>
      <c r="H69" s="456">
        <f t="shared" si="10"/>
        <v>0</v>
      </c>
      <c r="I69" s="476">
        <f t="shared" si="0"/>
        <v>0</v>
      </c>
      <c r="J69" s="476"/>
      <c r="K69" s="488"/>
      <c r="L69" s="479">
        <f t="shared" si="1"/>
        <v>0</v>
      </c>
      <c r="M69" s="488"/>
      <c r="N69" s="479">
        <f t="shared" si="2"/>
        <v>0</v>
      </c>
      <c r="O69" s="479">
        <f t="shared" si="3"/>
        <v>0</v>
      </c>
      <c r="P69" s="243"/>
    </row>
    <row r="70" spans="2:16" ht="12.5">
      <c r="B70" s="160" t="str">
        <f t="shared" si="5"/>
        <v/>
      </c>
      <c r="C70" s="473">
        <f>IF(D11="","-",+C69+1)</f>
        <v>2070</v>
      </c>
      <c r="D70" s="484">
        <f>IF(F69+SUM(E$17:E69)=D$10,F69,D$10-SUM(E$17:E69))</f>
        <v>0</v>
      </c>
      <c r="E70" s="485">
        <f t="shared" si="7"/>
        <v>0</v>
      </c>
      <c r="F70" s="486">
        <f t="shared" si="8"/>
        <v>0</v>
      </c>
      <c r="G70" s="487">
        <f t="shared" si="9"/>
        <v>0</v>
      </c>
      <c r="H70" s="456">
        <f t="shared" si="10"/>
        <v>0</v>
      </c>
      <c r="I70" s="476">
        <f t="shared" si="0"/>
        <v>0</v>
      </c>
      <c r="J70" s="476"/>
      <c r="K70" s="488"/>
      <c r="L70" s="479">
        <f t="shared" si="1"/>
        <v>0</v>
      </c>
      <c r="M70" s="488"/>
      <c r="N70" s="479">
        <f t="shared" si="2"/>
        <v>0</v>
      </c>
      <c r="O70" s="479">
        <f t="shared" si="3"/>
        <v>0</v>
      </c>
      <c r="P70" s="243"/>
    </row>
    <row r="71" spans="2:16" ht="12.5">
      <c r="B71" s="160" t="str">
        <f t="shared" si="5"/>
        <v/>
      </c>
      <c r="C71" s="473">
        <f>IF(D11="","-",+C70+1)</f>
        <v>2071</v>
      </c>
      <c r="D71" s="484">
        <f>IF(F70+SUM(E$17:E70)=D$10,F70,D$10-SUM(E$17:E70))</f>
        <v>0</v>
      </c>
      <c r="E71" s="485">
        <f t="shared" si="7"/>
        <v>0</v>
      </c>
      <c r="F71" s="486">
        <f t="shared" si="8"/>
        <v>0</v>
      </c>
      <c r="G71" s="487">
        <f t="shared" si="9"/>
        <v>0</v>
      </c>
      <c r="H71" s="456">
        <f t="shared" si="10"/>
        <v>0</v>
      </c>
      <c r="I71" s="476">
        <f t="shared" si="0"/>
        <v>0</v>
      </c>
      <c r="J71" s="476"/>
      <c r="K71" s="488"/>
      <c r="L71" s="479">
        <f t="shared" si="1"/>
        <v>0</v>
      </c>
      <c r="M71" s="488"/>
      <c r="N71" s="479">
        <f t="shared" si="2"/>
        <v>0</v>
      </c>
      <c r="O71" s="479">
        <f t="shared" si="3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2072</v>
      </c>
      <c r="D72" s="613">
        <f>IF(F71+SUM(E$17:E71)=D$10,F71,D$10-SUM(E$17:E71))</f>
        <v>0</v>
      </c>
      <c r="E72" s="492">
        <f t="shared" si="7"/>
        <v>0</v>
      </c>
      <c r="F72" s="491">
        <f t="shared" si="8"/>
        <v>0</v>
      </c>
      <c r="G72" s="545">
        <f t="shared" si="9"/>
        <v>0</v>
      </c>
      <c r="H72" s="436">
        <f t="shared" si="10"/>
        <v>0</v>
      </c>
      <c r="I72" s="494">
        <f t="shared" si="0"/>
        <v>0</v>
      </c>
      <c r="J72" s="476"/>
      <c r="K72" s="495"/>
      <c r="L72" s="496">
        <f t="shared" si="1"/>
        <v>0</v>
      </c>
      <c r="M72" s="495"/>
      <c r="N72" s="496">
        <f t="shared" si="2"/>
        <v>0</v>
      </c>
      <c r="O72" s="496">
        <f t="shared" si="3"/>
        <v>0</v>
      </c>
      <c r="P72" s="243"/>
    </row>
    <row r="73" spans="2:16" ht="12.5">
      <c r="C73" s="347" t="s">
        <v>77</v>
      </c>
      <c r="D73" s="348"/>
      <c r="E73" s="348">
        <f>SUM(E17:E72)</f>
        <v>330872.00000000006</v>
      </c>
      <c r="F73" s="348"/>
      <c r="G73" s="348">
        <f>SUM(G17:G72)</f>
        <v>1161261.7328578976</v>
      </c>
      <c r="H73" s="348">
        <f>SUM(H17:H72)</f>
        <v>1161261.7328578976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21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41623.00118882845</v>
      </c>
      <c r="N87" s="509">
        <f>IF(J92&lt;D11,0,VLOOKUP(J92,C17:O72,11))</f>
        <v>41623.00118882845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43167.870996202138</v>
      </c>
      <c r="N88" s="513">
        <f>IF(J92&lt;D11,0,VLOOKUP(J92,C99:P154,7))</f>
        <v>43167.870996202138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Darlington-Roman Nose 138 kV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1544.8698073736887</v>
      </c>
      <c r="N89" s="518">
        <f>+N88-N87</f>
        <v>1544.8698073736887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TP2015027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330872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2017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7695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2017</v>
      </c>
      <c r="D99" s="585">
        <v>0</v>
      </c>
      <c r="E99" s="609">
        <v>3596</v>
      </c>
      <c r="F99" s="585">
        <v>327228</v>
      </c>
      <c r="G99" s="609">
        <v>163614</v>
      </c>
      <c r="H99" s="588">
        <v>24350.848452847567</v>
      </c>
      <c r="I99" s="608">
        <v>24350.848452847567</v>
      </c>
      <c r="J99" s="479">
        <f t="shared" ref="J99:J130" si="11">+I99-H99</f>
        <v>0</v>
      </c>
      <c r="K99" s="479"/>
      <c r="L99" s="478">
        <f>+H99</f>
        <v>24350.848452847567</v>
      </c>
      <c r="M99" s="478">
        <f t="shared" ref="M99:M130" si="12">IF(L99&lt;&gt;0,+H99-L99,0)</f>
        <v>0</v>
      </c>
      <c r="N99" s="478">
        <f>+I99</f>
        <v>24350.848452847567</v>
      </c>
      <c r="O99" s="478">
        <f t="shared" ref="O99:O130" si="13">IF(N99&lt;&gt;0,+I99-N99,0)</f>
        <v>0</v>
      </c>
      <c r="P99" s="478">
        <f t="shared" ref="P99:P130" si="14">+O99-M99</f>
        <v>0</v>
      </c>
    </row>
    <row r="100" spans="1:16" ht="12.5">
      <c r="B100" s="160" t="str">
        <f>IF(D100=F99,"","IU")</f>
        <v/>
      </c>
      <c r="C100" s="473">
        <f>IF(D93="","-",+C99+1)</f>
        <v>2018</v>
      </c>
      <c r="D100" s="585">
        <v>327228</v>
      </c>
      <c r="E100" s="586">
        <v>7694</v>
      </c>
      <c r="F100" s="587">
        <v>319534</v>
      </c>
      <c r="G100" s="587">
        <v>323381</v>
      </c>
      <c r="H100" s="607">
        <v>40916.73033605556</v>
      </c>
      <c r="I100" s="608">
        <v>40916.73033605556</v>
      </c>
      <c r="J100" s="479">
        <f t="shared" si="11"/>
        <v>0</v>
      </c>
      <c r="K100" s="479"/>
      <c r="L100" s="477">
        <f>H100</f>
        <v>40916.73033605556</v>
      </c>
      <c r="M100" s="349">
        <f>IF(L100&lt;&gt;0,+H100-L100,0)</f>
        <v>0</v>
      </c>
      <c r="N100" s="477">
        <f>I100</f>
        <v>40916.73033605556</v>
      </c>
      <c r="O100" s="476">
        <f>IF(N100&lt;&gt;0,+I100-N100,0)</f>
        <v>0</v>
      </c>
      <c r="P100" s="479">
        <f>+O100-M100</f>
        <v>0</v>
      </c>
    </row>
    <row r="101" spans="1:16" ht="12.5">
      <c r="B101" s="160" t="str">
        <f t="shared" ref="B101:B154" si="15">IF(D101=F100,"","IU")</f>
        <v>IU</v>
      </c>
      <c r="C101" s="473">
        <f>IF(D93="","-",+C100+1)</f>
        <v>2019</v>
      </c>
      <c r="D101" s="585">
        <v>319582</v>
      </c>
      <c r="E101" s="586">
        <v>8070</v>
      </c>
      <c r="F101" s="587">
        <v>311512</v>
      </c>
      <c r="G101" s="587">
        <v>315547</v>
      </c>
      <c r="H101" s="607">
        <v>40607.321587664657</v>
      </c>
      <c r="I101" s="608">
        <v>40607.321587664657</v>
      </c>
      <c r="J101" s="479">
        <f t="shared" si="11"/>
        <v>0</v>
      </c>
      <c r="K101" s="479"/>
      <c r="L101" s="477">
        <f>H101</f>
        <v>40607.321587664657</v>
      </c>
      <c r="M101" s="349">
        <f>IF(L101&lt;&gt;0,+H101-L101,0)</f>
        <v>0</v>
      </c>
      <c r="N101" s="477">
        <f>I101</f>
        <v>40607.321587664657</v>
      </c>
      <c r="O101" s="479">
        <f t="shared" si="13"/>
        <v>0</v>
      </c>
      <c r="P101" s="479">
        <f t="shared" si="14"/>
        <v>0</v>
      </c>
    </row>
    <row r="102" spans="1:16" ht="12.5">
      <c r="B102" s="160" t="str">
        <f t="shared" si="15"/>
        <v/>
      </c>
      <c r="C102" s="473">
        <f>IF(D93="","-",+C101+1)</f>
        <v>2020</v>
      </c>
      <c r="D102" s="347">
        <f>IF(F101+SUM(E$99:E101)=D$92,F101,D$92-SUM(E$99:E101))</f>
        <v>311512</v>
      </c>
      <c r="E102" s="485">
        <f t="shared" ref="E102:E154" si="16">IF(+J$96&lt;F101,J$96,D102)</f>
        <v>7695</v>
      </c>
      <c r="F102" s="486">
        <f t="shared" ref="F102:F154" si="17">+D102-E102</f>
        <v>303817</v>
      </c>
      <c r="G102" s="486">
        <f t="shared" ref="G102:G154" si="18">+(F102+D102)/2</f>
        <v>307664.5</v>
      </c>
      <c r="H102" s="487">
        <f>(D102+F102)/2*J$94+E102</f>
        <v>43167.870996202138</v>
      </c>
      <c r="I102" s="543">
        <f t="shared" ref="I102" si="19">+J$95*G102+E102</f>
        <v>43167.870996202138</v>
      </c>
      <c r="J102" s="479">
        <f t="shared" si="11"/>
        <v>0</v>
      </c>
      <c r="K102" s="479"/>
      <c r="L102" s="488"/>
      <c r="M102" s="479">
        <f t="shared" si="12"/>
        <v>0</v>
      </c>
      <c r="N102" s="488"/>
      <c r="O102" s="479">
        <f t="shared" si="13"/>
        <v>0</v>
      </c>
      <c r="P102" s="479">
        <f t="shared" si="14"/>
        <v>0</v>
      </c>
    </row>
    <row r="103" spans="1:16" ht="12.5">
      <c r="B103" s="160" t="str">
        <f t="shared" si="15"/>
        <v/>
      </c>
      <c r="C103" s="473">
        <f>IF(D93="","-",+C102+1)</f>
        <v>2021</v>
      </c>
      <c r="D103" s="347">
        <f>IF(F102+SUM(E$99:E102)=D$92,F102,D$92-SUM(E$99:E102))</f>
        <v>303817</v>
      </c>
      <c r="E103" s="485">
        <f t="shared" si="16"/>
        <v>7695</v>
      </c>
      <c r="F103" s="486">
        <f t="shared" si="17"/>
        <v>296122</v>
      </c>
      <c r="G103" s="486">
        <f t="shared" si="18"/>
        <v>299969.5</v>
      </c>
      <c r="H103" s="487">
        <f t="shared" ref="H103:H153" si="20">(D103+F103)/2*J$94+E103</f>
        <v>42280.658651860242</v>
      </c>
      <c r="I103" s="543">
        <f t="shared" ref="I103:I153" si="21">+J$95*G103+E103</f>
        <v>42280.658651860242</v>
      </c>
      <c r="J103" s="479">
        <f t="shared" si="11"/>
        <v>0</v>
      </c>
      <c r="K103" s="479"/>
      <c r="L103" s="488"/>
      <c r="M103" s="479">
        <f t="shared" si="12"/>
        <v>0</v>
      </c>
      <c r="N103" s="488"/>
      <c r="O103" s="479">
        <f t="shared" si="13"/>
        <v>0</v>
      </c>
      <c r="P103" s="479">
        <f t="shared" si="14"/>
        <v>0</v>
      </c>
    </row>
    <row r="104" spans="1:16" ht="12.5">
      <c r="B104" s="160" t="str">
        <f t="shared" si="15"/>
        <v/>
      </c>
      <c r="C104" s="473">
        <f>IF(D93="","-",+C103+1)</f>
        <v>2022</v>
      </c>
      <c r="D104" s="347">
        <f>IF(F103+SUM(E$99:E103)=D$92,F103,D$92-SUM(E$99:E103))</f>
        <v>296122</v>
      </c>
      <c r="E104" s="485">
        <f t="shared" si="16"/>
        <v>7695</v>
      </c>
      <c r="F104" s="486">
        <f t="shared" si="17"/>
        <v>288427</v>
      </c>
      <c r="G104" s="486">
        <f t="shared" si="18"/>
        <v>292274.5</v>
      </c>
      <c r="H104" s="487">
        <f t="shared" si="20"/>
        <v>41393.446307518352</v>
      </c>
      <c r="I104" s="543">
        <f t="shared" si="21"/>
        <v>41393.446307518352</v>
      </c>
      <c r="J104" s="479">
        <f t="shared" si="11"/>
        <v>0</v>
      </c>
      <c r="K104" s="479"/>
      <c r="L104" s="488"/>
      <c r="M104" s="479">
        <f t="shared" si="12"/>
        <v>0</v>
      </c>
      <c r="N104" s="488"/>
      <c r="O104" s="479">
        <f t="shared" si="13"/>
        <v>0</v>
      </c>
      <c r="P104" s="479">
        <f t="shared" si="14"/>
        <v>0</v>
      </c>
    </row>
    <row r="105" spans="1:16" ht="12.5">
      <c r="B105" s="160" t="str">
        <f t="shared" si="15"/>
        <v/>
      </c>
      <c r="C105" s="473">
        <f>IF(D93="","-",+C104+1)</f>
        <v>2023</v>
      </c>
      <c r="D105" s="347">
        <f>IF(F104+SUM(E$99:E104)=D$92,F104,D$92-SUM(E$99:E104))</f>
        <v>288427</v>
      </c>
      <c r="E105" s="485">
        <f t="shared" si="16"/>
        <v>7695</v>
      </c>
      <c r="F105" s="486">
        <f t="shared" si="17"/>
        <v>280732</v>
      </c>
      <c r="G105" s="486">
        <f t="shared" si="18"/>
        <v>284579.5</v>
      </c>
      <c r="H105" s="487">
        <f t="shared" si="20"/>
        <v>40506.233963176463</v>
      </c>
      <c r="I105" s="543">
        <f t="shared" si="21"/>
        <v>40506.233963176463</v>
      </c>
      <c r="J105" s="479">
        <f t="shared" si="11"/>
        <v>0</v>
      </c>
      <c r="K105" s="479"/>
      <c r="L105" s="488"/>
      <c r="M105" s="479">
        <f t="shared" si="12"/>
        <v>0</v>
      </c>
      <c r="N105" s="488"/>
      <c r="O105" s="479">
        <f t="shared" si="13"/>
        <v>0</v>
      </c>
      <c r="P105" s="479">
        <f t="shared" si="14"/>
        <v>0</v>
      </c>
    </row>
    <row r="106" spans="1:16" ht="12.5">
      <c r="B106" s="160" t="str">
        <f t="shared" si="15"/>
        <v/>
      </c>
      <c r="C106" s="473">
        <f>IF(D93="","-",+C105+1)</f>
        <v>2024</v>
      </c>
      <c r="D106" s="347">
        <f>IF(F105+SUM(E$99:E105)=D$92,F105,D$92-SUM(E$99:E105))</f>
        <v>280732</v>
      </c>
      <c r="E106" s="485">
        <f t="shared" si="16"/>
        <v>7695</v>
      </c>
      <c r="F106" s="486">
        <f t="shared" si="17"/>
        <v>273037</v>
      </c>
      <c r="G106" s="486">
        <f t="shared" si="18"/>
        <v>276884.5</v>
      </c>
      <c r="H106" s="487">
        <f t="shared" si="20"/>
        <v>39619.02161883458</v>
      </c>
      <c r="I106" s="543">
        <f t="shared" si="21"/>
        <v>39619.02161883458</v>
      </c>
      <c r="J106" s="479">
        <f t="shared" si="11"/>
        <v>0</v>
      </c>
      <c r="K106" s="479"/>
      <c r="L106" s="488"/>
      <c r="M106" s="479">
        <f t="shared" si="12"/>
        <v>0</v>
      </c>
      <c r="N106" s="488"/>
      <c r="O106" s="479">
        <f t="shared" si="13"/>
        <v>0</v>
      </c>
      <c r="P106" s="479">
        <f t="shared" si="14"/>
        <v>0</v>
      </c>
    </row>
    <row r="107" spans="1:16" ht="12.5">
      <c r="B107" s="160" t="str">
        <f t="shared" si="15"/>
        <v/>
      </c>
      <c r="C107" s="473">
        <f>IF(D93="","-",+C106+1)</f>
        <v>2025</v>
      </c>
      <c r="D107" s="347">
        <f>IF(F106+SUM(E$99:E106)=D$92,F106,D$92-SUM(E$99:E106))</f>
        <v>273037</v>
      </c>
      <c r="E107" s="485">
        <f t="shared" si="16"/>
        <v>7695</v>
      </c>
      <c r="F107" s="486">
        <f t="shared" si="17"/>
        <v>265342</v>
      </c>
      <c r="G107" s="486">
        <f t="shared" si="18"/>
        <v>269189.5</v>
      </c>
      <c r="H107" s="487">
        <f t="shared" si="20"/>
        <v>38731.809274492683</v>
      </c>
      <c r="I107" s="543">
        <f t="shared" si="21"/>
        <v>38731.809274492683</v>
      </c>
      <c r="J107" s="479">
        <f t="shared" si="11"/>
        <v>0</v>
      </c>
      <c r="K107" s="479"/>
      <c r="L107" s="488"/>
      <c r="M107" s="479">
        <f t="shared" si="12"/>
        <v>0</v>
      </c>
      <c r="N107" s="488"/>
      <c r="O107" s="479">
        <f t="shared" si="13"/>
        <v>0</v>
      </c>
      <c r="P107" s="479">
        <f t="shared" si="14"/>
        <v>0</v>
      </c>
    </row>
    <row r="108" spans="1:16" ht="12.5">
      <c r="B108" s="160" t="str">
        <f t="shared" si="15"/>
        <v/>
      </c>
      <c r="C108" s="473">
        <f>IF(D93="","-",+C107+1)</f>
        <v>2026</v>
      </c>
      <c r="D108" s="347">
        <f>IF(F107+SUM(E$99:E107)=D$92,F107,D$92-SUM(E$99:E107))</f>
        <v>265342</v>
      </c>
      <c r="E108" s="485">
        <f t="shared" si="16"/>
        <v>7695</v>
      </c>
      <c r="F108" s="486">
        <f t="shared" si="17"/>
        <v>257647</v>
      </c>
      <c r="G108" s="486">
        <f t="shared" si="18"/>
        <v>261494.5</v>
      </c>
      <c r="H108" s="487">
        <f t="shared" si="20"/>
        <v>37844.596930150794</v>
      </c>
      <c r="I108" s="543">
        <f t="shared" si="21"/>
        <v>37844.596930150794</v>
      </c>
      <c r="J108" s="479">
        <f t="shared" si="11"/>
        <v>0</v>
      </c>
      <c r="K108" s="479"/>
      <c r="L108" s="488"/>
      <c r="M108" s="479">
        <f t="shared" si="12"/>
        <v>0</v>
      </c>
      <c r="N108" s="488"/>
      <c r="O108" s="479">
        <f t="shared" si="13"/>
        <v>0</v>
      </c>
      <c r="P108" s="479">
        <f t="shared" si="14"/>
        <v>0</v>
      </c>
    </row>
    <row r="109" spans="1:16" ht="12.5">
      <c r="B109" s="160" t="str">
        <f t="shared" si="15"/>
        <v/>
      </c>
      <c r="C109" s="473">
        <f>IF(D93="","-",+C108+1)</f>
        <v>2027</v>
      </c>
      <c r="D109" s="347">
        <f>IF(F108+SUM(E$99:E108)=D$92,F108,D$92-SUM(E$99:E108))</f>
        <v>257647</v>
      </c>
      <c r="E109" s="485">
        <f t="shared" si="16"/>
        <v>7695</v>
      </c>
      <c r="F109" s="486">
        <f t="shared" si="17"/>
        <v>249952</v>
      </c>
      <c r="G109" s="486">
        <f t="shared" si="18"/>
        <v>253799.5</v>
      </c>
      <c r="H109" s="487">
        <f t="shared" si="20"/>
        <v>36957.384585808904</v>
      </c>
      <c r="I109" s="543">
        <f t="shared" si="21"/>
        <v>36957.384585808904</v>
      </c>
      <c r="J109" s="479">
        <f t="shared" si="11"/>
        <v>0</v>
      </c>
      <c r="K109" s="479"/>
      <c r="L109" s="488"/>
      <c r="M109" s="479">
        <f t="shared" si="12"/>
        <v>0</v>
      </c>
      <c r="N109" s="488"/>
      <c r="O109" s="479">
        <f t="shared" si="13"/>
        <v>0</v>
      </c>
      <c r="P109" s="479">
        <f t="shared" si="14"/>
        <v>0</v>
      </c>
    </row>
    <row r="110" spans="1:16" ht="12.5">
      <c r="B110" s="160" t="str">
        <f t="shared" si="15"/>
        <v/>
      </c>
      <c r="C110" s="473">
        <f>IF(D93="","-",+C109+1)</f>
        <v>2028</v>
      </c>
      <c r="D110" s="347">
        <f>IF(F109+SUM(E$99:E109)=D$92,F109,D$92-SUM(E$99:E109))</f>
        <v>249952</v>
      </c>
      <c r="E110" s="485">
        <f t="shared" si="16"/>
        <v>7695</v>
      </c>
      <c r="F110" s="486">
        <f t="shared" si="17"/>
        <v>242257</v>
      </c>
      <c r="G110" s="486">
        <f t="shared" si="18"/>
        <v>246104.5</v>
      </c>
      <c r="H110" s="487">
        <f t="shared" si="20"/>
        <v>36070.172241467015</v>
      </c>
      <c r="I110" s="543">
        <f t="shared" si="21"/>
        <v>36070.172241467015</v>
      </c>
      <c r="J110" s="479">
        <f t="shared" si="11"/>
        <v>0</v>
      </c>
      <c r="K110" s="479"/>
      <c r="L110" s="488"/>
      <c r="M110" s="479">
        <f t="shared" si="12"/>
        <v>0</v>
      </c>
      <c r="N110" s="488"/>
      <c r="O110" s="479">
        <f t="shared" si="13"/>
        <v>0</v>
      </c>
      <c r="P110" s="479">
        <f t="shared" si="14"/>
        <v>0</v>
      </c>
    </row>
    <row r="111" spans="1:16" ht="12.5">
      <c r="B111" s="160" t="str">
        <f t="shared" si="15"/>
        <v/>
      </c>
      <c r="C111" s="473">
        <f>IF(D93="","-",+C110+1)</f>
        <v>2029</v>
      </c>
      <c r="D111" s="347">
        <f>IF(F110+SUM(E$99:E110)=D$92,F110,D$92-SUM(E$99:E110))</f>
        <v>242257</v>
      </c>
      <c r="E111" s="485">
        <f t="shared" si="16"/>
        <v>7695</v>
      </c>
      <c r="F111" s="486">
        <f t="shared" si="17"/>
        <v>234562</v>
      </c>
      <c r="G111" s="486">
        <f t="shared" si="18"/>
        <v>238409.5</v>
      </c>
      <c r="H111" s="487">
        <f t="shared" si="20"/>
        <v>35182.959897125125</v>
      </c>
      <c r="I111" s="543">
        <f t="shared" si="21"/>
        <v>35182.959897125125</v>
      </c>
      <c r="J111" s="479">
        <f t="shared" si="11"/>
        <v>0</v>
      </c>
      <c r="K111" s="479"/>
      <c r="L111" s="488"/>
      <c r="M111" s="479">
        <f t="shared" si="12"/>
        <v>0</v>
      </c>
      <c r="N111" s="488"/>
      <c r="O111" s="479">
        <f t="shared" si="13"/>
        <v>0</v>
      </c>
      <c r="P111" s="479">
        <f t="shared" si="14"/>
        <v>0</v>
      </c>
    </row>
    <row r="112" spans="1:16" ht="12.5">
      <c r="B112" s="160" t="str">
        <f t="shared" si="15"/>
        <v/>
      </c>
      <c r="C112" s="473">
        <f>IF(D93="","-",+C111+1)</f>
        <v>2030</v>
      </c>
      <c r="D112" s="347">
        <f>IF(F111+SUM(E$99:E111)=D$92,F111,D$92-SUM(E$99:E111))</f>
        <v>234562</v>
      </c>
      <c r="E112" s="485">
        <f t="shared" si="16"/>
        <v>7695</v>
      </c>
      <c r="F112" s="486">
        <f t="shared" si="17"/>
        <v>226867</v>
      </c>
      <c r="G112" s="486">
        <f t="shared" si="18"/>
        <v>230714.5</v>
      </c>
      <c r="H112" s="487">
        <f t="shared" si="20"/>
        <v>34295.747552783236</v>
      </c>
      <c r="I112" s="543">
        <f t="shared" si="21"/>
        <v>34295.747552783236</v>
      </c>
      <c r="J112" s="479">
        <f t="shared" si="11"/>
        <v>0</v>
      </c>
      <c r="K112" s="479"/>
      <c r="L112" s="488"/>
      <c r="M112" s="479">
        <f t="shared" si="12"/>
        <v>0</v>
      </c>
      <c r="N112" s="488"/>
      <c r="O112" s="479">
        <f t="shared" si="13"/>
        <v>0</v>
      </c>
      <c r="P112" s="479">
        <f t="shared" si="14"/>
        <v>0</v>
      </c>
    </row>
    <row r="113" spans="2:16" ht="12.5">
      <c r="B113" s="160" t="str">
        <f t="shared" si="15"/>
        <v/>
      </c>
      <c r="C113" s="473">
        <f>IF(D93="","-",+C112+1)</f>
        <v>2031</v>
      </c>
      <c r="D113" s="347">
        <f>IF(F112+SUM(E$99:E112)=D$92,F112,D$92-SUM(E$99:E112))</f>
        <v>226867</v>
      </c>
      <c r="E113" s="485">
        <f t="shared" si="16"/>
        <v>7695</v>
      </c>
      <c r="F113" s="486">
        <f t="shared" si="17"/>
        <v>219172</v>
      </c>
      <c r="G113" s="486">
        <f t="shared" si="18"/>
        <v>223019.5</v>
      </c>
      <c r="H113" s="487">
        <f t="shared" si="20"/>
        <v>33408.535208441346</v>
      </c>
      <c r="I113" s="543">
        <f t="shared" si="21"/>
        <v>33408.535208441346</v>
      </c>
      <c r="J113" s="479">
        <f t="shared" si="11"/>
        <v>0</v>
      </c>
      <c r="K113" s="479"/>
      <c r="L113" s="488"/>
      <c r="M113" s="479">
        <f t="shared" si="12"/>
        <v>0</v>
      </c>
      <c r="N113" s="488"/>
      <c r="O113" s="479">
        <f t="shared" si="13"/>
        <v>0</v>
      </c>
      <c r="P113" s="479">
        <f t="shared" si="14"/>
        <v>0</v>
      </c>
    </row>
    <row r="114" spans="2:16" ht="12.5">
      <c r="B114" s="160" t="str">
        <f t="shared" si="15"/>
        <v/>
      </c>
      <c r="C114" s="473">
        <f>IF(D93="","-",+C113+1)</f>
        <v>2032</v>
      </c>
      <c r="D114" s="347">
        <f>IF(F113+SUM(E$99:E113)=D$92,F113,D$92-SUM(E$99:E113))</f>
        <v>219172</v>
      </c>
      <c r="E114" s="485">
        <f t="shared" si="16"/>
        <v>7695</v>
      </c>
      <c r="F114" s="486">
        <f t="shared" si="17"/>
        <v>211477</v>
      </c>
      <c r="G114" s="486">
        <f t="shared" si="18"/>
        <v>215324.5</v>
      </c>
      <c r="H114" s="487">
        <f t="shared" si="20"/>
        <v>32521.322864099453</v>
      </c>
      <c r="I114" s="543">
        <f t="shared" si="21"/>
        <v>32521.322864099453</v>
      </c>
      <c r="J114" s="479">
        <f t="shared" si="11"/>
        <v>0</v>
      </c>
      <c r="K114" s="479"/>
      <c r="L114" s="488"/>
      <c r="M114" s="479">
        <f t="shared" si="12"/>
        <v>0</v>
      </c>
      <c r="N114" s="488"/>
      <c r="O114" s="479">
        <f t="shared" si="13"/>
        <v>0</v>
      </c>
      <c r="P114" s="479">
        <f t="shared" si="14"/>
        <v>0</v>
      </c>
    </row>
    <row r="115" spans="2:16" ht="12.5">
      <c r="B115" s="160" t="str">
        <f t="shared" si="15"/>
        <v/>
      </c>
      <c r="C115" s="473">
        <f>IF(D93="","-",+C114+1)</f>
        <v>2033</v>
      </c>
      <c r="D115" s="347">
        <f>IF(F114+SUM(E$99:E114)=D$92,F114,D$92-SUM(E$99:E114))</f>
        <v>211477</v>
      </c>
      <c r="E115" s="485">
        <f t="shared" si="16"/>
        <v>7695</v>
      </c>
      <c r="F115" s="486">
        <f t="shared" si="17"/>
        <v>203782</v>
      </c>
      <c r="G115" s="486">
        <f t="shared" si="18"/>
        <v>207629.5</v>
      </c>
      <c r="H115" s="487">
        <f t="shared" si="20"/>
        <v>31634.110519757563</v>
      </c>
      <c r="I115" s="543">
        <f t="shared" si="21"/>
        <v>31634.110519757563</v>
      </c>
      <c r="J115" s="479">
        <f t="shared" si="11"/>
        <v>0</v>
      </c>
      <c r="K115" s="479"/>
      <c r="L115" s="488"/>
      <c r="M115" s="479">
        <f t="shared" si="12"/>
        <v>0</v>
      </c>
      <c r="N115" s="488"/>
      <c r="O115" s="479">
        <f t="shared" si="13"/>
        <v>0</v>
      </c>
      <c r="P115" s="479">
        <f t="shared" si="14"/>
        <v>0</v>
      </c>
    </row>
    <row r="116" spans="2:16" ht="12.5">
      <c r="B116" s="160" t="str">
        <f t="shared" si="15"/>
        <v/>
      </c>
      <c r="C116" s="473">
        <f>IF(D93="","-",+C115+1)</f>
        <v>2034</v>
      </c>
      <c r="D116" s="347">
        <f>IF(F115+SUM(E$99:E115)=D$92,F115,D$92-SUM(E$99:E115))</f>
        <v>203782</v>
      </c>
      <c r="E116" s="485">
        <f t="shared" si="16"/>
        <v>7695</v>
      </c>
      <c r="F116" s="486">
        <f t="shared" si="17"/>
        <v>196087</v>
      </c>
      <c r="G116" s="486">
        <f t="shared" si="18"/>
        <v>199934.5</v>
      </c>
      <c r="H116" s="487">
        <f t="shared" si="20"/>
        <v>30746.898175415674</v>
      </c>
      <c r="I116" s="543">
        <f t="shared" si="21"/>
        <v>30746.898175415674</v>
      </c>
      <c r="J116" s="479">
        <f t="shared" si="11"/>
        <v>0</v>
      </c>
      <c r="K116" s="479"/>
      <c r="L116" s="488"/>
      <c r="M116" s="479">
        <f t="shared" si="12"/>
        <v>0</v>
      </c>
      <c r="N116" s="488"/>
      <c r="O116" s="479">
        <f t="shared" si="13"/>
        <v>0</v>
      </c>
      <c r="P116" s="479">
        <f t="shared" si="14"/>
        <v>0</v>
      </c>
    </row>
    <row r="117" spans="2:16" ht="12.5">
      <c r="B117" s="160" t="str">
        <f t="shared" si="15"/>
        <v/>
      </c>
      <c r="C117" s="473">
        <f>IF(D93="","-",+C116+1)</f>
        <v>2035</v>
      </c>
      <c r="D117" s="347">
        <f>IF(F116+SUM(E$99:E116)=D$92,F116,D$92-SUM(E$99:E116))</f>
        <v>196087</v>
      </c>
      <c r="E117" s="485">
        <f t="shared" si="16"/>
        <v>7695</v>
      </c>
      <c r="F117" s="486">
        <f t="shared" si="17"/>
        <v>188392</v>
      </c>
      <c r="G117" s="486">
        <f t="shared" si="18"/>
        <v>192239.5</v>
      </c>
      <c r="H117" s="487">
        <f t="shared" si="20"/>
        <v>29859.685831073784</v>
      </c>
      <c r="I117" s="543">
        <f t="shared" si="21"/>
        <v>29859.685831073784</v>
      </c>
      <c r="J117" s="479">
        <f t="shared" si="11"/>
        <v>0</v>
      </c>
      <c r="K117" s="479"/>
      <c r="L117" s="488"/>
      <c r="M117" s="479">
        <f t="shared" si="12"/>
        <v>0</v>
      </c>
      <c r="N117" s="488"/>
      <c r="O117" s="479">
        <f t="shared" si="13"/>
        <v>0</v>
      </c>
      <c r="P117" s="479">
        <f t="shared" si="14"/>
        <v>0</v>
      </c>
    </row>
    <row r="118" spans="2:16" ht="12.5">
      <c r="B118" s="160" t="str">
        <f t="shared" si="15"/>
        <v/>
      </c>
      <c r="C118" s="473">
        <f>IF(D93="","-",+C117+1)</f>
        <v>2036</v>
      </c>
      <c r="D118" s="347">
        <f>IF(F117+SUM(E$99:E117)=D$92,F117,D$92-SUM(E$99:E117))</f>
        <v>188392</v>
      </c>
      <c r="E118" s="485">
        <f t="shared" si="16"/>
        <v>7695</v>
      </c>
      <c r="F118" s="486">
        <f t="shared" si="17"/>
        <v>180697</v>
      </c>
      <c r="G118" s="486">
        <f t="shared" si="18"/>
        <v>184544.5</v>
      </c>
      <c r="H118" s="487">
        <f t="shared" si="20"/>
        <v>28972.473486731895</v>
      </c>
      <c r="I118" s="543">
        <f t="shared" si="21"/>
        <v>28972.473486731895</v>
      </c>
      <c r="J118" s="479">
        <f t="shared" si="11"/>
        <v>0</v>
      </c>
      <c r="K118" s="479"/>
      <c r="L118" s="488"/>
      <c r="M118" s="479">
        <f t="shared" si="12"/>
        <v>0</v>
      </c>
      <c r="N118" s="488"/>
      <c r="O118" s="479">
        <f t="shared" si="13"/>
        <v>0</v>
      </c>
      <c r="P118" s="479">
        <f t="shared" si="14"/>
        <v>0</v>
      </c>
    </row>
    <row r="119" spans="2:16" ht="12.5">
      <c r="B119" s="160" t="str">
        <f t="shared" si="15"/>
        <v/>
      </c>
      <c r="C119" s="473">
        <f>IF(D93="","-",+C118+1)</f>
        <v>2037</v>
      </c>
      <c r="D119" s="347">
        <f>IF(F118+SUM(E$99:E118)=D$92,F118,D$92-SUM(E$99:E118))</f>
        <v>180697</v>
      </c>
      <c r="E119" s="485">
        <f t="shared" si="16"/>
        <v>7695</v>
      </c>
      <c r="F119" s="486">
        <f t="shared" si="17"/>
        <v>173002</v>
      </c>
      <c r="G119" s="486">
        <f t="shared" si="18"/>
        <v>176849.5</v>
      </c>
      <c r="H119" s="487">
        <f t="shared" si="20"/>
        <v>28085.261142390005</v>
      </c>
      <c r="I119" s="543">
        <f t="shared" si="21"/>
        <v>28085.261142390005</v>
      </c>
      <c r="J119" s="479">
        <f t="shared" si="11"/>
        <v>0</v>
      </c>
      <c r="K119" s="479"/>
      <c r="L119" s="488"/>
      <c r="M119" s="479">
        <f t="shared" si="12"/>
        <v>0</v>
      </c>
      <c r="N119" s="488"/>
      <c r="O119" s="479">
        <f t="shared" si="13"/>
        <v>0</v>
      </c>
      <c r="P119" s="479">
        <f t="shared" si="14"/>
        <v>0</v>
      </c>
    </row>
    <row r="120" spans="2:16" ht="12.5">
      <c r="B120" s="160" t="str">
        <f t="shared" si="15"/>
        <v/>
      </c>
      <c r="C120" s="473">
        <f>IF(D93="","-",+C119+1)</f>
        <v>2038</v>
      </c>
      <c r="D120" s="347">
        <f>IF(F119+SUM(E$99:E119)=D$92,F119,D$92-SUM(E$99:E119))</f>
        <v>173002</v>
      </c>
      <c r="E120" s="485">
        <f t="shared" si="16"/>
        <v>7695</v>
      </c>
      <c r="F120" s="486">
        <f t="shared" si="17"/>
        <v>165307</v>
      </c>
      <c r="G120" s="486">
        <f t="shared" si="18"/>
        <v>169154.5</v>
      </c>
      <c r="H120" s="487">
        <f t="shared" si="20"/>
        <v>27198.048798048116</v>
      </c>
      <c r="I120" s="543">
        <f t="shared" si="21"/>
        <v>27198.048798048116</v>
      </c>
      <c r="J120" s="479">
        <f t="shared" si="11"/>
        <v>0</v>
      </c>
      <c r="K120" s="479"/>
      <c r="L120" s="488"/>
      <c r="M120" s="479">
        <f t="shared" si="12"/>
        <v>0</v>
      </c>
      <c r="N120" s="488"/>
      <c r="O120" s="479">
        <f t="shared" si="13"/>
        <v>0</v>
      </c>
      <c r="P120" s="479">
        <f t="shared" si="14"/>
        <v>0</v>
      </c>
    </row>
    <row r="121" spans="2:16" ht="12.5">
      <c r="B121" s="160" t="str">
        <f t="shared" si="15"/>
        <v/>
      </c>
      <c r="C121" s="473">
        <f>IF(D93="","-",+C120+1)</f>
        <v>2039</v>
      </c>
      <c r="D121" s="347">
        <f>IF(F120+SUM(E$99:E120)=D$92,F120,D$92-SUM(E$99:E120))</f>
        <v>165307</v>
      </c>
      <c r="E121" s="485">
        <f t="shared" si="16"/>
        <v>7695</v>
      </c>
      <c r="F121" s="486">
        <f t="shared" si="17"/>
        <v>157612</v>
      </c>
      <c r="G121" s="486">
        <f t="shared" si="18"/>
        <v>161459.5</v>
      </c>
      <c r="H121" s="487">
        <f t="shared" si="20"/>
        <v>26310.836453706223</v>
      </c>
      <c r="I121" s="543">
        <f t="shared" si="21"/>
        <v>26310.836453706223</v>
      </c>
      <c r="J121" s="479">
        <f t="shared" si="11"/>
        <v>0</v>
      </c>
      <c r="K121" s="479"/>
      <c r="L121" s="488"/>
      <c r="M121" s="479">
        <f t="shared" si="12"/>
        <v>0</v>
      </c>
      <c r="N121" s="488"/>
      <c r="O121" s="479">
        <f t="shared" si="13"/>
        <v>0</v>
      </c>
      <c r="P121" s="479">
        <f t="shared" si="14"/>
        <v>0</v>
      </c>
    </row>
    <row r="122" spans="2:16" ht="12.5">
      <c r="B122" s="160" t="str">
        <f t="shared" si="15"/>
        <v/>
      </c>
      <c r="C122" s="473">
        <f>IF(D93="","-",+C121+1)</f>
        <v>2040</v>
      </c>
      <c r="D122" s="347">
        <f>IF(F121+SUM(E$99:E121)=D$92,F121,D$92-SUM(E$99:E121))</f>
        <v>157612</v>
      </c>
      <c r="E122" s="485">
        <f t="shared" si="16"/>
        <v>7695</v>
      </c>
      <c r="F122" s="486">
        <f t="shared" si="17"/>
        <v>149917</v>
      </c>
      <c r="G122" s="486">
        <f t="shared" si="18"/>
        <v>153764.5</v>
      </c>
      <c r="H122" s="487">
        <f t="shared" si="20"/>
        <v>25423.624109364333</v>
      </c>
      <c r="I122" s="543">
        <f t="shared" si="21"/>
        <v>25423.624109364333</v>
      </c>
      <c r="J122" s="479">
        <f t="shared" si="11"/>
        <v>0</v>
      </c>
      <c r="K122" s="479"/>
      <c r="L122" s="488"/>
      <c r="M122" s="479">
        <f t="shared" si="12"/>
        <v>0</v>
      </c>
      <c r="N122" s="488"/>
      <c r="O122" s="479">
        <f t="shared" si="13"/>
        <v>0</v>
      </c>
      <c r="P122" s="479">
        <f t="shared" si="14"/>
        <v>0</v>
      </c>
    </row>
    <row r="123" spans="2:16" ht="12.5">
      <c r="B123" s="160" t="str">
        <f t="shared" si="15"/>
        <v/>
      </c>
      <c r="C123" s="473">
        <f>IF(D93="","-",+C122+1)</f>
        <v>2041</v>
      </c>
      <c r="D123" s="347">
        <f>IF(F122+SUM(E$99:E122)=D$92,F122,D$92-SUM(E$99:E122))</f>
        <v>149917</v>
      </c>
      <c r="E123" s="485">
        <f t="shared" si="16"/>
        <v>7695</v>
      </c>
      <c r="F123" s="486">
        <f t="shared" si="17"/>
        <v>142222</v>
      </c>
      <c r="G123" s="486">
        <f t="shared" si="18"/>
        <v>146069.5</v>
      </c>
      <c r="H123" s="487">
        <f t="shared" si="20"/>
        <v>24536.411765022443</v>
      </c>
      <c r="I123" s="543">
        <f t="shared" si="21"/>
        <v>24536.411765022443</v>
      </c>
      <c r="J123" s="479">
        <f t="shared" si="11"/>
        <v>0</v>
      </c>
      <c r="K123" s="479"/>
      <c r="L123" s="488"/>
      <c r="M123" s="479">
        <f t="shared" si="12"/>
        <v>0</v>
      </c>
      <c r="N123" s="488"/>
      <c r="O123" s="479">
        <f t="shared" si="13"/>
        <v>0</v>
      </c>
      <c r="P123" s="479">
        <f t="shared" si="14"/>
        <v>0</v>
      </c>
    </row>
    <row r="124" spans="2:16" ht="12.5">
      <c r="B124" s="160" t="str">
        <f t="shared" si="15"/>
        <v/>
      </c>
      <c r="C124" s="473">
        <f>IF(D93="","-",+C123+1)</f>
        <v>2042</v>
      </c>
      <c r="D124" s="347">
        <f>IF(F123+SUM(E$99:E123)=D$92,F123,D$92-SUM(E$99:E123))</f>
        <v>142222</v>
      </c>
      <c r="E124" s="485">
        <f t="shared" si="16"/>
        <v>7695</v>
      </c>
      <c r="F124" s="486">
        <f t="shared" si="17"/>
        <v>134527</v>
      </c>
      <c r="G124" s="486">
        <f t="shared" si="18"/>
        <v>138374.5</v>
      </c>
      <c r="H124" s="487">
        <f t="shared" si="20"/>
        <v>23649.199420680554</v>
      </c>
      <c r="I124" s="543">
        <f t="shared" si="21"/>
        <v>23649.199420680554</v>
      </c>
      <c r="J124" s="479">
        <f t="shared" si="11"/>
        <v>0</v>
      </c>
      <c r="K124" s="479"/>
      <c r="L124" s="488"/>
      <c r="M124" s="479">
        <f t="shared" si="12"/>
        <v>0</v>
      </c>
      <c r="N124" s="488"/>
      <c r="O124" s="479">
        <f t="shared" si="13"/>
        <v>0</v>
      </c>
      <c r="P124" s="479">
        <f t="shared" si="14"/>
        <v>0</v>
      </c>
    </row>
    <row r="125" spans="2:16" ht="12.5">
      <c r="B125" s="160" t="str">
        <f t="shared" si="15"/>
        <v/>
      </c>
      <c r="C125" s="473">
        <f>IF(D93="","-",+C124+1)</f>
        <v>2043</v>
      </c>
      <c r="D125" s="347">
        <f>IF(F124+SUM(E$99:E124)=D$92,F124,D$92-SUM(E$99:E124))</f>
        <v>134527</v>
      </c>
      <c r="E125" s="485">
        <f t="shared" si="16"/>
        <v>7695</v>
      </c>
      <c r="F125" s="486">
        <f t="shared" si="17"/>
        <v>126832</v>
      </c>
      <c r="G125" s="486">
        <f t="shared" si="18"/>
        <v>130679.5</v>
      </c>
      <c r="H125" s="487">
        <f t="shared" si="20"/>
        <v>22761.987076338664</v>
      </c>
      <c r="I125" s="543">
        <f t="shared" si="21"/>
        <v>22761.987076338664</v>
      </c>
      <c r="J125" s="479">
        <f t="shared" si="11"/>
        <v>0</v>
      </c>
      <c r="K125" s="479"/>
      <c r="L125" s="488"/>
      <c r="M125" s="479">
        <f t="shared" si="12"/>
        <v>0</v>
      </c>
      <c r="N125" s="488"/>
      <c r="O125" s="479">
        <f t="shared" si="13"/>
        <v>0</v>
      </c>
      <c r="P125" s="479">
        <f t="shared" si="14"/>
        <v>0</v>
      </c>
    </row>
    <row r="126" spans="2:16" ht="12.5">
      <c r="B126" s="160" t="str">
        <f t="shared" si="15"/>
        <v/>
      </c>
      <c r="C126" s="473">
        <f>IF(D93="","-",+C125+1)</f>
        <v>2044</v>
      </c>
      <c r="D126" s="347">
        <f>IF(F125+SUM(E$99:E125)=D$92,F125,D$92-SUM(E$99:E125))</f>
        <v>126832</v>
      </c>
      <c r="E126" s="485">
        <f t="shared" si="16"/>
        <v>7695</v>
      </c>
      <c r="F126" s="486">
        <f t="shared" si="17"/>
        <v>119137</v>
      </c>
      <c r="G126" s="486">
        <f t="shared" si="18"/>
        <v>122984.5</v>
      </c>
      <c r="H126" s="487">
        <f t="shared" si="20"/>
        <v>21874.774731996775</v>
      </c>
      <c r="I126" s="543">
        <f t="shared" si="21"/>
        <v>21874.774731996775</v>
      </c>
      <c r="J126" s="479">
        <f t="shared" si="11"/>
        <v>0</v>
      </c>
      <c r="K126" s="479"/>
      <c r="L126" s="488"/>
      <c r="M126" s="479">
        <f t="shared" si="12"/>
        <v>0</v>
      </c>
      <c r="N126" s="488"/>
      <c r="O126" s="479">
        <f t="shared" si="13"/>
        <v>0</v>
      </c>
      <c r="P126" s="479">
        <f t="shared" si="14"/>
        <v>0</v>
      </c>
    </row>
    <row r="127" spans="2:16" ht="12.5">
      <c r="B127" s="160" t="str">
        <f t="shared" si="15"/>
        <v/>
      </c>
      <c r="C127" s="473">
        <f>IF(D93="","-",+C126+1)</f>
        <v>2045</v>
      </c>
      <c r="D127" s="347">
        <f>IF(F126+SUM(E$99:E126)=D$92,F126,D$92-SUM(E$99:E126))</f>
        <v>119137</v>
      </c>
      <c r="E127" s="485">
        <f t="shared" si="16"/>
        <v>7695</v>
      </c>
      <c r="F127" s="486">
        <f t="shared" si="17"/>
        <v>111442</v>
      </c>
      <c r="G127" s="486">
        <f t="shared" si="18"/>
        <v>115289.5</v>
      </c>
      <c r="H127" s="487">
        <f t="shared" si="20"/>
        <v>20987.562387654885</v>
      </c>
      <c r="I127" s="543">
        <f t="shared" si="21"/>
        <v>20987.562387654885</v>
      </c>
      <c r="J127" s="479">
        <f t="shared" si="11"/>
        <v>0</v>
      </c>
      <c r="K127" s="479"/>
      <c r="L127" s="488"/>
      <c r="M127" s="479">
        <f t="shared" si="12"/>
        <v>0</v>
      </c>
      <c r="N127" s="488"/>
      <c r="O127" s="479">
        <f t="shared" si="13"/>
        <v>0</v>
      </c>
      <c r="P127" s="479">
        <f t="shared" si="14"/>
        <v>0</v>
      </c>
    </row>
    <row r="128" spans="2:16" ht="12.5">
      <c r="B128" s="160" t="str">
        <f t="shared" si="15"/>
        <v/>
      </c>
      <c r="C128" s="473">
        <f>IF(D93="","-",+C127+1)</f>
        <v>2046</v>
      </c>
      <c r="D128" s="347">
        <f>IF(F127+SUM(E$99:E127)=D$92,F127,D$92-SUM(E$99:E127))</f>
        <v>111442</v>
      </c>
      <c r="E128" s="485">
        <f t="shared" si="16"/>
        <v>7695</v>
      </c>
      <c r="F128" s="486">
        <f t="shared" si="17"/>
        <v>103747</v>
      </c>
      <c r="G128" s="486">
        <f t="shared" si="18"/>
        <v>107594.5</v>
      </c>
      <c r="H128" s="487">
        <f t="shared" si="20"/>
        <v>20100.350043312996</v>
      </c>
      <c r="I128" s="543">
        <f t="shared" si="21"/>
        <v>20100.350043312996</v>
      </c>
      <c r="J128" s="479">
        <f t="shared" si="11"/>
        <v>0</v>
      </c>
      <c r="K128" s="479"/>
      <c r="L128" s="488"/>
      <c r="M128" s="479">
        <f t="shared" si="12"/>
        <v>0</v>
      </c>
      <c r="N128" s="488"/>
      <c r="O128" s="479">
        <f t="shared" si="13"/>
        <v>0</v>
      </c>
      <c r="P128" s="479">
        <f t="shared" si="14"/>
        <v>0</v>
      </c>
    </row>
    <row r="129" spans="2:16" ht="12.5">
      <c r="B129" s="160" t="str">
        <f t="shared" si="15"/>
        <v/>
      </c>
      <c r="C129" s="473">
        <f>IF(D93="","-",+C128+1)</f>
        <v>2047</v>
      </c>
      <c r="D129" s="347">
        <f>IF(F128+SUM(E$99:E128)=D$92,F128,D$92-SUM(E$99:E128))</f>
        <v>103747</v>
      </c>
      <c r="E129" s="485">
        <f t="shared" si="16"/>
        <v>7695</v>
      </c>
      <c r="F129" s="486">
        <f t="shared" si="17"/>
        <v>96052</v>
      </c>
      <c r="G129" s="486">
        <f t="shared" si="18"/>
        <v>99899.5</v>
      </c>
      <c r="H129" s="487">
        <f t="shared" si="20"/>
        <v>19213.137698971106</v>
      </c>
      <c r="I129" s="543">
        <f t="shared" si="21"/>
        <v>19213.137698971106</v>
      </c>
      <c r="J129" s="479">
        <f t="shared" si="11"/>
        <v>0</v>
      </c>
      <c r="K129" s="479"/>
      <c r="L129" s="488"/>
      <c r="M129" s="479">
        <f t="shared" si="12"/>
        <v>0</v>
      </c>
      <c r="N129" s="488"/>
      <c r="O129" s="479">
        <f t="shared" si="13"/>
        <v>0</v>
      </c>
      <c r="P129" s="479">
        <f t="shared" si="14"/>
        <v>0</v>
      </c>
    </row>
    <row r="130" spans="2:16" ht="12.5">
      <c r="B130" s="160" t="str">
        <f t="shared" si="15"/>
        <v/>
      </c>
      <c r="C130" s="473">
        <f>IF(D93="","-",+C129+1)</f>
        <v>2048</v>
      </c>
      <c r="D130" s="347">
        <f>IF(F129+SUM(E$99:E129)=D$92,F129,D$92-SUM(E$99:E129))</f>
        <v>96052</v>
      </c>
      <c r="E130" s="485">
        <f t="shared" si="16"/>
        <v>7695</v>
      </c>
      <c r="F130" s="486">
        <f t="shared" si="17"/>
        <v>88357</v>
      </c>
      <c r="G130" s="486">
        <f t="shared" si="18"/>
        <v>92204.5</v>
      </c>
      <c r="H130" s="487">
        <f t="shared" si="20"/>
        <v>18325.925354629213</v>
      </c>
      <c r="I130" s="543">
        <f t="shared" si="21"/>
        <v>18325.925354629213</v>
      </c>
      <c r="J130" s="479">
        <f t="shared" si="11"/>
        <v>0</v>
      </c>
      <c r="K130" s="479"/>
      <c r="L130" s="488"/>
      <c r="M130" s="479">
        <f t="shared" si="12"/>
        <v>0</v>
      </c>
      <c r="N130" s="488"/>
      <c r="O130" s="479">
        <f t="shared" si="13"/>
        <v>0</v>
      </c>
      <c r="P130" s="479">
        <f t="shared" si="14"/>
        <v>0</v>
      </c>
    </row>
    <row r="131" spans="2:16" ht="12.5">
      <c r="B131" s="160" t="str">
        <f t="shared" si="15"/>
        <v/>
      </c>
      <c r="C131" s="473">
        <f>IF(D93="","-",+C130+1)</f>
        <v>2049</v>
      </c>
      <c r="D131" s="347">
        <f>IF(F130+SUM(E$99:E130)=D$92,F130,D$92-SUM(E$99:E130))</f>
        <v>88357</v>
      </c>
      <c r="E131" s="485">
        <f t="shared" si="16"/>
        <v>7695</v>
      </c>
      <c r="F131" s="486">
        <f t="shared" si="17"/>
        <v>80662</v>
      </c>
      <c r="G131" s="486">
        <f t="shared" si="18"/>
        <v>84509.5</v>
      </c>
      <c r="H131" s="487">
        <f t="shared" si="20"/>
        <v>17438.713010287323</v>
      </c>
      <c r="I131" s="543">
        <f t="shared" si="21"/>
        <v>17438.713010287323</v>
      </c>
      <c r="J131" s="479">
        <f t="shared" ref="J131:J154" si="22">+I541-H541</f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5"/>
        <v/>
      </c>
      <c r="C132" s="473">
        <f>IF(D93="","-",+C131+1)</f>
        <v>2050</v>
      </c>
      <c r="D132" s="347">
        <f>IF(F131+SUM(E$99:E131)=D$92,F131,D$92-SUM(E$99:E131))</f>
        <v>80662</v>
      </c>
      <c r="E132" s="485">
        <f t="shared" si="16"/>
        <v>7695</v>
      </c>
      <c r="F132" s="486">
        <f t="shared" si="17"/>
        <v>72967</v>
      </c>
      <c r="G132" s="486">
        <f t="shared" si="18"/>
        <v>76814.5</v>
      </c>
      <c r="H132" s="487">
        <f t="shared" si="20"/>
        <v>16551.500665945434</v>
      </c>
      <c r="I132" s="543">
        <f t="shared" si="21"/>
        <v>16551.500665945434</v>
      </c>
      <c r="J132" s="479">
        <f t="shared" si="22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5"/>
        <v/>
      </c>
      <c r="C133" s="473">
        <f>IF(D93="","-",+C132+1)</f>
        <v>2051</v>
      </c>
      <c r="D133" s="347">
        <f>IF(F132+SUM(E$99:E132)=D$92,F132,D$92-SUM(E$99:E132))</f>
        <v>72967</v>
      </c>
      <c r="E133" s="485">
        <f t="shared" si="16"/>
        <v>7695</v>
      </c>
      <c r="F133" s="486">
        <f t="shared" si="17"/>
        <v>65272</v>
      </c>
      <c r="G133" s="486">
        <f t="shared" si="18"/>
        <v>69119.5</v>
      </c>
      <c r="H133" s="487">
        <f t="shared" si="20"/>
        <v>15664.288321603544</v>
      </c>
      <c r="I133" s="543">
        <f t="shared" si="21"/>
        <v>15664.288321603544</v>
      </c>
      <c r="J133" s="479">
        <f t="shared" si="22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5"/>
        <v/>
      </c>
      <c r="C134" s="473">
        <f>IF(D93="","-",+C133+1)</f>
        <v>2052</v>
      </c>
      <c r="D134" s="347">
        <f>IF(F133+SUM(E$99:E133)=D$92,F133,D$92-SUM(E$99:E133))</f>
        <v>65272</v>
      </c>
      <c r="E134" s="485">
        <f t="shared" si="16"/>
        <v>7695</v>
      </c>
      <c r="F134" s="486">
        <f t="shared" si="17"/>
        <v>57577</v>
      </c>
      <c r="G134" s="486">
        <f t="shared" si="18"/>
        <v>61424.5</v>
      </c>
      <c r="H134" s="487">
        <f t="shared" si="20"/>
        <v>14777.075977261655</v>
      </c>
      <c r="I134" s="543">
        <f t="shared" si="21"/>
        <v>14777.075977261655</v>
      </c>
      <c r="J134" s="479">
        <f t="shared" si="22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5"/>
        <v/>
      </c>
      <c r="C135" s="473">
        <f>IF(D93="","-",+C134+1)</f>
        <v>2053</v>
      </c>
      <c r="D135" s="347">
        <f>IF(F134+SUM(E$99:E134)=D$92,F134,D$92-SUM(E$99:E134))</f>
        <v>57577</v>
      </c>
      <c r="E135" s="485">
        <f t="shared" si="16"/>
        <v>7695</v>
      </c>
      <c r="F135" s="486">
        <f t="shared" si="17"/>
        <v>49882</v>
      </c>
      <c r="G135" s="486">
        <f t="shared" si="18"/>
        <v>53729.5</v>
      </c>
      <c r="H135" s="487">
        <f t="shared" si="20"/>
        <v>13889.863632919763</v>
      </c>
      <c r="I135" s="543">
        <f t="shared" si="21"/>
        <v>13889.863632919763</v>
      </c>
      <c r="J135" s="479">
        <f t="shared" si="22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5"/>
        <v/>
      </c>
      <c r="C136" s="473">
        <f>IF(D93="","-",+C135+1)</f>
        <v>2054</v>
      </c>
      <c r="D136" s="347">
        <f>IF(F135+SUM(E$99:E135)=D$92,F135,D$92-SUM(E$99:E135))</f>
        <v>49882</v>
      </c>
      <c r="E136" s="485">
        <f t="shared" si="16"/>
        <v>7695</v>
      </c>
      <c r="F136" s="486">
        <f t="shared" si="17"/>
        <v>42187</v>
      </c>
      <c r="G136" s="486">
        <f t="shared" si="18"/>
        <v>46034.5</v>
      </c>
      <c r="H136" s="487">
        <f t="shared" si="20"/>
        <v>13002.651288577874</v>
      </c>
      <c r="I136" s="543">
        <f t="shared" si="21"/>
        <v>13002.651288577874</v>
      </c>
      <c r="J136" s="479">
        <f t="shared" si="22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5"/>
        <v/>
      </c>
      <c r="C137" s="473">
        <f>IF(D93="","-",+C136+1)</f>
        <v>2055</v>
      </c>
      <c r="D137" s="347">
        <f>IF(F136+SUM(E$99:E136)=D$92,F136,D$92-SUM(E$99:E136))</f>
        <v>42187</v>
      </c>
      <c r="E137" s="485">
        <f t="shared" si="16"/>
        <v>7695</v>
      </c>
      <c r="F137" s="486">
        <f t="shared" si="17"/>
        <v>34492</v>
      </c>
      <c r="G137" s="486">
        <f t="shared" si="18"/>
        <v>38339.5</v>
      </c>
      <c r="H137" s="487">
        <f t="shared" si="20"/>
        <v>12115.438944235982</v>
      </c>
      <c r="I137" s="543">
        <f t="shared" si="21"/>
        <v>12115.438944235982</v>
      </c>
      <c r="J137" s="479">
        <f t="shared" si="22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5"/>
        <v/>
      </c>
      <c r="C138" s="473">
        <f>IF(D93="","-",+C137+1)</f>
        <v>2056</v>
      </c>
      <c r="D138" s="347">
        <f>IF(F137+SUM(E$99:E137)=D$92,F137,D$92-SUM(E$99:E137))</f>
        <v>34492</v>
      </c>
      <c r="E138" s="485">
        <f t="shared" si="16"/>
        <v>7695</v>
      </c>
      <c r="F138" s="486">
        <f t="shared" si="17"/>
        <v>26797</v>
      </c>
      <c r="G138" s="486">
        <f t="shared" si="18"/>
        <v>30644.5</v>
      </c>
      <c r="H138" s="487">
        <f t="shared" si="20"/>
        <v>11228.226599894093</v>
      </c>
      <c r="I138" s="543">
        <f t="shared" si="21"/>
        <v>11228.226599894093</v>
      </c>
      <c r="J138" s="479">
        <f t="shared" si="22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5"/>
        <v/>
      </c>
      <c r="C139" s="473">
        <f>IF(D93="","-",+C138+1)</f>
        <v>2057</v>
      </c>
      <c r="D139" s="347">
        <f>IF(F138+SUM(E$99:E138)=D$92,F138,D$92-SUM(E$99:E138))</f>
        <v>26797</v>
      </c>
      <c r="E139" s="485">
        <f t="shared" si="16"/>
        <v>7695</v>
      </c>
      <c r="F139" s="486">
        <f t="shared" si="17"/>
        <v>19102</v>
      </c>
      <c r="G139" s="486">
        <f t="shared" si="18"/>
        <v>22949.5</v>
      </c>
      <c r="H139" s="487">
        <f t="shared" si="20"/>
        <v>10341.014255552203</v>
      </c>
      <c r="I139" s="543">
        <f t="shared" si="21"/>
        <v>10341.014255552203</v>
      </c>
      <c r="J139" s="479">
        <f t="shared" si="22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5"/>
        <v/>
      </c>
      <c r="C140" s="473">
        <f>IF(D93="","-",+C139+1)</f>
        <v>2058</v>
      </c>
      <c r="D140" s="347">
        <f>IF(F139+SUM(E$99:E139)=D$92,F139,D$92-SUM(E$99:E139))</f>
        <v>19102</v>
      </c>
      <c r="E140" s="485">
        <f t="shared" si="16"/>
        <v>7695</v>
      </c>
      <c r="F140" s="486">
        <f t="shared" si="17"/>
        <v>11407</v>
      </c>
      <c r="G140" s="486">
        <f t="shared" si="18"/>
        <v>15254.5</v>
      </c>
      <c r="H140" s="487">
        <f t="shared" si="20"/>
        <v>9453.8019112103138</v>
      </c>
      <c r="I140" s="543">
        <f t="shared" si="21"/>
        <v>9453.8019112103138</v>
      </c>
      <c r="J140" s="479">
        <f t="shared" si="22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5"/>
        <v/>
      </c>
      <c r="C141" s="473">
        <f>IF(D93="","-",+C140+1)</f>
        <v>2059</v>
      </c>
      <c r="D141" s="347">
        <f>IF(F140+SUM(E$99:E140)=D$92,F140,D$92-SUM(E$99:E140))</f>
        <v>11407</v>
      </c>
      <c r="E141" s="485">
        <f t="shared" si="16"/>
        <v>7695</v>
      </c>
      <c r="F141" s="486">
        <f t="shared" si="17"/>
        <v>3712</v>
      </c>
      <c r="G141" s="486">
        <f t="shared" si="18"/>
        <v>7559.5</v>
      </c>
      <c r="H141" s="487">
        <f t="shared" si="20"/>
        <v>8566.5895668684243</v>
      </c>
      <c r="I141" s="543">
        <f t="shared" si="21"/>
        <v>8566.5895668684243</v>
      </c>
      <c r="J141" s="479">
        <f t="shared" si="22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5"/>
        <v/>
      </c>
      <c r="C142" s="473">
        <f>IF(D93="","-",+C141+1)</f>
        <v>2060</v>
      </c>
      <c r="D142" s="347">
        <f>IF(F141+SUM(E$99:E141)=D$92,F141,D$92-SUM(E$99:E141))</f>
        <v>3712</v>
      </c>
      <c r="E142" s="485">
        <f t="shared" si="16"/>
        <v>3712</v>
      </c>
      <c r="F142" s="486">
        <f t="shared" si="17"/>
        <v>0</v>
      </c>
      <c r="G142" s="486">
        <f t="shared" si="18"/>
        <v>1856</v>
      </c>
      <c r="H142" s="487">
        <f t="shared" si="20"/>
        <v>3925.9916973487393</v>
      </c>
      <c r="I142" s="543">
        <f t="shared" si="21"/>
        <v>3925.9916973487393</v>
      </c>
      <c r="J142" s="479">
        <f t="shared" si="22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5"/>
        <v/>
      </c>
      <c r="C143" s="473">
        <f>IF(D93="","-",+C142+1)</f>
        <v>2061</v>
      </c>
      <c r="D143" s="347">
        <f>IF(F142+SUM(E$99:E142)=D$92,F142,D$92-SUM(E$99:E142))</f>
        <v>0</v>
      </c>
      <c r="E143" s="485">
        <f t="shared" si="16"/>
        <v>0</v>
      </c>
      <c r="F143" s="486">
        <f t="shared" si="17"/>
        <v>0</v>
      </c>
      <c r="G143" s="486">
        <f t="shared" si="18"/>
        <v>0</v>
      </c>
      <c r="H143" s="487">
        <f t="shared" si="20"/>
        <v>0</v>
      </c>
      <c r="I143" s="543">
        <f t="shared" si="21"/>
        <v>0</v>
      </c>
      <c r="J143" s="479">
        <f t="shared" si="22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5"/>
        <v/>
      </c>
      <c r="C144" s="473">
        <f>IF(D93="","-",+C143+1)</f>
        <v>2062</v>
      </c>
      <c r="D144" s="347">
        <f>IF(F143+SUM(E$99:E143)=D$92,F143,D$92-SUM(E$99:E143))</f>
        <v>0</v>
      </c>
      <c r="E144" s="485">
        <f t="shared" si="16"/>
        <v>0</v>
      </c>
      <c r="F144" s="486">
        <f t="shared" si="17"/>
        <v>0</v>
      </c>
      <c r="G144" s="486">
        <f t="shared" si="18"/>
        <v>0</v>
      </c>
      <c r="H144" s="487">
        <f t="shared" si="20"/>
        <v>0</v>
      </c>
      <c r="I144" s="543">
        <f t="shared" si="21"/>
        <v>0</v>
      </c>
      <c r="J144" s="479">
        <f t="shared" si="22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5"/>
        <v/>
      </c>
      <c r="C145" s="473">
        <f>IF(D93="","-",+C144+1)</f>
        <v>2063</v>
      </c>
      <c r="D145" s="347">
        <f>IF(F144+SUM(E$99:E144)=D$92,F144,D$92-SUM(E$99:E144))</f>
        <v>0</v>
      </c>
      <c r="E145" s="485">
        <f t="shared" si="16"/>
        <v>0</v>
      </c>
      <c r="F145" s="486">
        <f t="shared" si="17"/>
        <v>0</v>
      </c>
      <c r="G145" s="486">
        <f t="shared" si="18"/>
        <v>0</v>
      </c>
      <c r="H145" s="487">
        <f t="shared" si="20"/>
        <v>0</v>
      </c>
      <c r="I145" s="543">
        <f t="shared" si="21"/>
        <v>0</v>
      </c>
      <c r="J145" s="479">
        <f t="shared" si="22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5"/>
        <v/>
      </c>
      <c r="C146" s="473">
        <f>IF(D93="","-",+C145+1)</f>
        <v>2064</v>
      </c>
      <c r="D146" s="347">
        <f>IF(F145+SUM(E$99:E145)=D$92,F145,D$92-SUM(E$99:E145))</f>
        <v>0</v>
      </c>
      <c r="E146" s="485">
        <f t="shared" si="16"/>
        <v>0</v>
      </c>
      <c r="F146" s="486">
        <f t="shared" si="17"/>
        <v>0</v>
      </c>
      <c r="G146" s="486">
        <f t="shared" si="18"/>
        <v>0</v>
      </c>
      <c r="H146" s="487">
        <f t="shared" si="20"/>
        <v>0</v>
      </c>
      <c r="I146" s="543">
        <f t="shared" si="21"/>
        <v>0</v>
      </c>
      <c r="J146" s="479">
        <f t="shared" si="22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5"/>
        <v/>
      </c>
      <c r="C147" s="473">
        <f>IF(D93="","-",+C146+1)</f>
        <v>2065</v>
      </c>
      <c r="D147" s="347">
        <f>IF(F146+SUM(E$99:E146)=D$92,F146,D$92-SUM(E$99:E146))</f>
        <v>0</v>
      </c>
      <c r="E147" s="485">
        <f t="shared" si="16"/>
        <v>0</v>
      </c>
      <c r="F147" s="486">
        <f t="shared" si="17"/>
        <v>0</v>
      </c>
      <c r="G147" s="486">
        <f t="shared" si="18"/>
        <v>0</v>
      </c>
      <c r="H147" s="487">
        <f t="shared" si="20"/>
        <v>0</v>
      </c>
      <c r="I147" s="543">
        <f t="shared" si="21"/>
        <v>0</v>
      </c>
      <c r="J147" s="479">
        <f t="shared" si="22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5"/>
        <v/>
      </c>
      <c r="C148" s="473">
        <f>IF(D93="","-",+C147+1)</f>
        <v>2066</v>
      </c>
      <c r="D148" s="347">
        <f>IF(F147+SUM(E$99:E147)=D$92,F147,D$92-SUM(E$99:E147))</f>
        <v>0</v>
      </c>
      <c r="E148" s="485">
        <f t="shared" si="16"/>
        <v>0</v>
      </c>
      <c r="F148" s="486">
        <f t="shared" si="17"/>
        <v>0</v>
      </c>
      <c r="G148" s="486">
        <f t="shared" si="18"/>
        <v>0</v>
      </c>
      <c r="H148" s="487">
        <f t="shared" si="20"/>
        <v>0</v>
      </c>
      <c r="I148" s="543">
        <f t="shared" si="21"/>
        <v>0</v>
      </c>
      <c r="J148" s="479">
        <f t="shared" si="22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5"/>
        <v/>
      </c>
      <c r="C149" s="473">
        <f>IF(D93="","-",+C148+1)</f>
        <v>2067</v>
      </c>
      <c r="D149" s="347">
        <f>IF(F148+SUM(E$99:E148)=D$92,F148,D$92-SUM(E$99:E148))</f>
        <v>0</v>
      </c>
      <c r="E149" s="485">
        <f t="shared" si="16"/>
        <v>0</v>
      </c>
      <c r="F149" s="486">
        <f t="shared" si="17"/>
        <v>0</v>
      </c>
      <c r="G149" s="486">
        <f t="shared" si="18"/>
        <v>0</v>
      </c>
      <c r="H149" s="487">
        <f t="shared" si="20"/>
        <v>0</v>
      </c>
      <c r="I149" s="543">
        <f t="shared" si="21"/>
        <v>0</v>
      </c>
      <c r="J149" s="479">
        <f t="shared" si="22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5"/>
        <v/>
      </c>
      <c r="C150" s="473">
        <f>IF(D93="","-",+C149+1)</f>
        <v>2068</v>
      </c>
      <c r="D150" s="347">
        <f>IF(F149+SUM(E$99:E149)=D$92,F149,D$92-SUM(E$99:E149))</f>
        <v>0</v>
      </c>
      <c r="E150" s="485">
        <f t="shared" si="16"/>
        <v>0</v>
      </c>
      <c r="F150" s="486">
        <f t="shared" si="17"/>
        <v>0</v>
      </c>
      <c r="G150" s="486">
        <f t="shared" si="18"/>
        <v>0</v>
      </c>
      <c r="H150" s="487">
        <f t="shared" si="20"/>
        <v>0</v>
      </c>
      <c r="I150" s="543">
        <f t="shared" si="21"/>
        <v>0</v>
      </c>
      <c r="J150" s="479">
        <f t="shared" si="22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5"/>
        <v/>
      </c>
      <c r="C151" s="473">
        <f>IF(D93="","-",+C150+1)</f>
        <v>2069</v>
      </c>
      <c r="D151" s="347">
        <f>IF(F150+SUM(E$99:E150)=D$92,F150,D$92-SUM(E$99:E150))</f>
        <v>0</v>
      </c>
      <c r="E151" s="485">
        <f t="shared" si="16"/>
        <v>0</v>
      </c>
      <c r="F151" s="486">
        <f t="shared" si="17"/>
        <v>0</v>
      </c>
      <c r="G151" s="486">
        <f t="shared" si="18"/>
        <v>0</v>
      </c>
      <c r="H151" s="487">
        <f t="shared" si="20"/>
        <v>0</v>
      </c>
      <c r="I151" s="543">
        <f t="shared" si="21"/>
        <v>0</v>
      </c>
      <c r="J151" s="479">
        <f t="shared" si="22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5"/>
        <v/>
      </c>
      <c r="C152" s="473">
        <f>IF(D93="","-",+C151+1)</f>
        <v>2070</v>
      </c>
      <c r="D152" s="347">
        <f>IF(F151+SUM(E$99:E151)=D$92,F151,D$92-SUM(E$99:E151))</f>
        <v>0</v>
      </c>
      <c r="E152" s="485">
        <f t="shared" si="16"/>
        <v>0</v>
      </c>
      <c r="F152" s="486">
        <f t="shared" si="17"/>
        <v>0</v>
      </c>
      <c r="G152" s="486">
        <f t="shared" si="18"/>
        <v>0</v>
      </c>
      <c r="H152" s="487">
        <f t="shared" si="20"/>
        <v>0</v>
      </c>
      <c r="I152" s="543">
        <f t="shared" si="21"/>
        <v>0</v>
      </c>
      <c r="J152" s="479">
        <f t="shared" si="22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5"/>
        <v/>
      </c>
      <c r="C153" s="473">
        <f>IF(D93="","-",+C152+1)</f>
        <v>2071</v>
      </c>
      <c r="D153" s="347">
        <f>IF(F152+SUM(E$99:E152)=D$92,F152,D$92-SUM(E$99:E152))</f>
        <v>0</v>
      </c>
      <c r="E153" s="485">
        <f t="shared" si="16"/>
        <v>0</v>
      </c>
      <c r="F153" s="486">
        <f t="shared" si="17"/>
        <v>0</v>
      </c>
      <c r="G153" s="486">
        <f t="shared" si="18"/>
        <v>0</v>
      </c>
      <c r="H153" s="487">
        <f t="shared" si="20"/>
        <v>0</v>
      </c>
      <c r="I153" s="543">
        <f t="shared" si="21"/>
        <v>0</v>
      </c>
      <c r="J153" s="479">
        <f t="shared" si="22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5"/>
        <v/>
      </c>
      <c r="C154" s="490">
        <f>IF(D93="","-",+C153+1)</f>
        <v>2072</v>
      </c>
      <c r="D154" s="544">
        <f>IF(F153+SUM(E$99:E153)=D$92,F153,D$92-SUM(E$99:E153))</f>
        <v>0</v>
      </c>
      <c r="E154" s="492">
        <f t="shared" si="16"/>
        <v>0</v>
      </c>
      <c r="F154" s="491">
        <f t="shared" si="17"/>
        <v>0</v>
      </c>
      <c r="G154" s="491">
        <f t="shared" si="18"/>
        <v>0</v>
      </c>
      <c r="H154" s="614">
        <f t="shared" ref="H154" si="26">+J$94*G154+E154</f>
        <v>0</v>
      </c>
      <c r="I154" s="615">
        <f t="shared" ref="I154" si="27">+J$95*G154+E154</f>
        <v>0</v>
      </c>
      <c r="J154" s="496">
        <f t="shared" si="22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330872</v>
      </c>
      <c r="F155" s="348"/>
      <c r="G155" s="348"/>
      <c r="H155" s="348">
        <f>SUM(H99:H154)</f>
        <v>1144490.1033353275</v>
      </c>
      <c r="I155" s="348">
        <f>SUM(I99:I154)</f>
        <v>1144490.1033353275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P162"/>
  <sheetViews>
    <sheetView view="pageBreakPreview" topLeftCell="A61" zoomScale="78" zoomScaleNormal="100" zoomScaleSheetLayoutView="78" workbookViewId="0">
      <selection activeCell="L100" sqref="L100:N100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22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30970.52236185109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30970.52236185109</v>
      </c>
      <c r="O6" s="233"/>
      <c r="P6" s="233"/>
    </row>
    <row r="7" spans="1:16" ht="13.5" thickBot="1">
      <c r="C7" s="432" t="s">
        <v>46</v>
      </c>
      <c r="D7" s="600" t="s">
        <v>280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302</v>
      </c>
      <c r="E9" s="578" t="s">
        <v>303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244000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5674.4186046511632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2018</v>
      </c>
      <c r="D17" s="585">
        <v>0</v>
      </c>
      <c r="E17" s="609">
        <v>2711.1111111111113</v>
      </c>
      <c r="F17" s="585">
        <v>241288.88888888888</v>
      </c>
      <c r="G17" s="609">
        <v>19038.576480221469</v>
      </c>
      <c r="H17" s="588">
        <v>19038.576480221469</v>
      </c>
      <c r="I17" s="476">
        <f t="shared" ref="I17:I72" si="0">H17-G17</f>
        <v>0</v>
      </c>
      <c r="J17" s="476"/>
      <c r="K17" s="555">
        <f>+G17</f>
        <v>19038.576480221469</v>
      </c>
      <c r="L17" s="478">
        <f t="shared" ref="L17:L72" si="1">IF(K17&lt;&gt;0,+G17-K17,0)</f>
        <v>0</v>
      </c>
      <c r="M17" s="555">
        <f>+H17</f>
        <v>19038.576480221469</v>
      </c>
      <c r="N17" s="478">
        <f t="shared" ref="N17:N72" si="2">IF(M17&lt;&gt;0,+H17-M17,0)</f>
        <v>0</v>
      </c>
      <c r="O17" s="479">
        <f t="shared" ref="O17:O72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2019</v>
      </c>
      <c r="D18" s="585">
        <v>241288.88888888888</v>
      </c>
      <c r="E18" s="586">
        <v>5422.2222222222226</v>
      </c>
      <c r="F18" s="585">
        <v>235866.66666666666</v>
      </c>
      <c r="G18" s="586">
        <v>37710.243626305615</v>
      </c>
      <c r="H18" s="588">
        <v>37710.243626305615</v>
      </c>
      <c r="I18" s="476">
        <f t="shared" si="0"/>
        <v>0</v>
      </c>
      <c r="J18" s="476"/>
      <c r="K18" s="479">
        <f>+G18</f>
        <v>37710.243626305615</v>
      </c>
      <c r="L18" s="479">
        <f t="shared" si="1"/>
        <v>0</v>
      </c>
      <c r="M18" s="479">
        <f>+H18</f>
        <v>37710.243626305615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2020</v>
      </c>
      <c r="D19" s="585">
        <v>235866.66666666666</v>
      </c>
      <c r="E19" s="586">
        <v>5809.5238095238092</v>
      </c>
      <c r="F19" s="585">
        <v>230057.14285714284</v>
      </c>
      <c r="G19" s="586">
        <v>30970.52236185109</v>
      </c>
      <c r="H19" s="588">
        <v>30970.52236185109</v>
      </c>
      <c r="I19" s="476">
        <f t="shared" si="0"/>
        <v>0</v>
      </c>
      <c r="J19" s="476"/>
      <c r="K19" s="479">
        <f>+G19</f>
        <v>30970.52236185109</v>
      </c>
      <c r="L19" s="479">
        <f t="shared" ref="L19" si="4">IF(K19&lt;&gt;0,+G19-K19,0)</f>
        <v>0</v>
      </c>
      <c r="M19" s="479">
        <f>+H19</f>
        <v>30970.52236185109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5">IF(D20=F19,"","IU")</f>
        <v/>
      </c>
      <c r="C20" s="473">
        <f>IF(D11="","-",+C19+1)</f>
        <v>2021</v>
      </c>
      <c r="D20" s="484">
        <f>IF(F19+SUM(E$17:E19)=D$10,F19,D$10-SUM(E$17:E19))</f>
        <v>230057.14285714284</v>
      </c>
      <c r="E20" s="485">
        <f t="shared" ref="E20:E72" si="6">IF(+I$14&lt;F19,I$14,D20)</f>
        <v>5674.4186046511632</v>
      </c>
      <c r="F20" s="486">
        <f t="shared" ref="F20:F72" si="7">+D20-E20</f>
        <v>224382.72425249167</v>
      </c>
      <c r="G20" s="487">
        <f t="shared" ref="G20:G72" si="8">(D20+F20)/2*I$12+E20</f>
        <v>31817.511456766315</v>
      </c>
      <c r="H20" s="456">
        <f t="shared" ref="H20:H72" si="9">+(D20+F20)/2*I$13+E20</f>
        <v>31817.511456766315</v>
      </c>
      <c r="I20" s="476">
        <f t="shared" si="0"/>
        <v>0</v>
      </c>
      <c r="J20" s="476"/>
      <c r="K20" s="488"/>
      <c r="L20" s="479">
        <f t="shared" si="1"/>
        <v>0</v>
      </c>
      <c r="M20" s="488"/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5"/>
        <v/>
      </c>
      <c r="C21" s="473">
        <f>IF(D11="","-",+C20+1)</f>
        <v>2022</v>
      </c>
      <c r="D21" s="484">
        <f>IF(F20+SUM(E$17:E20)=D$10,F20,D$10-SUM(E$17:E20))</f>
        <v>224382.72425249167</v>
      </c>
      <c r="E21" s="485">
        <f t="shared" si="6"/>
        <v>5674.4186046511632</v>
      </c>
      <c r="F21" s="486">
        <f t="shared" si="7"/>
        <v>218708.30564784049</v>
      </c>
      <c r="G21" s="487">
        <f t="shared" si="8"/>
        <v>31164.633647402039</v>
      </c>
      <c r="H21" s="456">
        <f t="shared" si="9"/>
        <v>31164.633647402039</v>
      </c>
      <c r="I21" s="476">
        <f t="shared" si="0"/>
        <v>0</v>
      </c>
      <c r="J21" s="476"/>
      <c r="K21" s="488"/>
      <c r="L21" s="479">
        <f t="shared" si="1"/>
        <v>0</v>
      </c>
      <c r="M21" s="488"/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5"/>
        <v/>
      </c>
      <c r="C22" s="473">
        <f>IF(D11="","-",+C21+1)</f>
        <v>2023</v>
      </c>
      <c r="D22" s="484">
        <f>IF(F21+SUM(E$17:E21)=D$10,F21,D$10-SUM(E$17:E21))</f>
        <v>218708.30564784049</v>
      </c>
      <c r="E22" s="485">
        <f t="shared" si="6"/>
        <v>5674.4186046511632</v>
      </c>
      <c r="F22" s="486">
        <f t="shared" si="7"/>
        <v>213033.88704318932</v>
      </c>
      <c r="G22" s="487">
        <f t="shared" si="8"/>
        <v>30511.755838037763</v>
      </c>
      <c r="H22" s="456">
        <f t="shared" si="9"/>
        <v>30511.755838037763</v>
      </c>
      <c r="I22" s="476">
        <f t="shared" si="0"/>
        <v>0</v>
      </c>
      <c r="J22" s="476"/>
      <c r="K22" s="488"/>
      <c r="L22" s="479">
        <f t="shared" si="1"/>
        <v>0</v>
      </c>
      <c r="M22" s="488"/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5"/>
        <v/>
      </c>
      <c r="C23" s="473">
        <f>IF(D11="","-",+C22+1)</f>
        <v>2024</v>
      </c>
      <c r="D23" s="484">
        <f>IF(F22+SUM(E$17:E22)=D$10,F22,D$10-SUM(E$17:E22))</f>
        <v>213033.88704318932</v>
      </c>
      <c r="E23" s="485">
        <f t="shared" si="6"/>
        <v>5674.4186046511632</v>
      </c>
      <c r="F23" s="486">
        <f t="shared" si="7"/>
        <v>207359.46843853814</v>
      </c>
      <c r="G23" s="487">
        <f t="shared" si="8"/>
        <v>29858.878028673487</v>
      </c>
      <c r="H23" s="456">
        <f t="shared" si="9"/>
        <v>29858.878028673487</v>
      </c>
      <c r="I23" s="476">
        <f t="shared" si="0"/>
        <v>0</v>
      </c>
      <c r="J23" s="476"/>
      <c r="K23" s="488"/>
      <c r="L23" s="479">
        <f t="shared" si="1"/>
        <v>0</v>
      </c>
      <c r="M23" s="488"/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5"/>
        <v/>
      </c>
      <c r="C24" s="473">
        <f>IF(D11="","-",+C23+1)</f>
        <v>2025</v>
      </c>
      <c r="D24" s="484">
        <f>IF(F23+SUM(E$17:E23)=D$10,F23,D$10-SUM(E$17:E23))</f>
        <v>207359.46843853814</v>
      </c>
      <c r="E24" s="485">
        <f t="shared" si="6"/>
        <v>5674.4186046511632</v>
      </c>
      <c r="F24" s="486">
        <f t="shared" si="7"/>
        <v>201685.04983388697</v>
      </c>
      <c r="G24" s="487">
        <f t="shared" si="8"/>
        <v>29206.000219309211</v>
      </c>
      <c r="H24" s="456">
        <f t="shared" si="9"/>
        <v>29206.000219309211</v>
      </c>
      <c r="I24" s="476">
        <f t="shared" si="0"/>
        <v>0</v>
      </c>
      <c r="J24" s="476"/>
      <c r="K24" s="488"/>
      <c r="L24" s="479">
        <f t="shared" si="1"/>
        <v>0</v>
      </c>
      <c r="M24" s="488"/>
      <c r="N24" s="479">
        <f t="shared" si="2"/>
        <v>0</v>
      </c>
      <c r="O24" s="479">
        <f t="shared" si="3"/>
        <v>0</v>
      </c>
      <c r="P24" s="243"/>
    </row>
    <row r="25" spans="2:16" ht="12.5">
      <c r="B25" s="160" t="str">
        <f t="shared" si="5"/>
        <v/>
      </c>
      <c r="C25" s="473">
        <f>IF(D11="","-",+C24+1)</f>
        <v>2026</v>
      </c>
      <c r="D25" s="484">
        <f>IF(F24+SUM(E$17:E24)=D$10,F24,D$10-SUM(E$17:E24))</f>
        <v>201685.04983388697</v>
      </c>
      <c r="E25" s="485">
        <f t="shared" si="6"/>
        <v>5674.4186046511632</v>
      </c>
      <c r="F25" s="486">
        <f t="shared" si="7"/>
        <v>196010.63122923579</v>
      </c>
      <c r="G25" s="487">
        <f t="shared" si="8"/>
        <v>28553.122409944935</v>
      </c>
      <c r="H25" s="456">
        <f t="shared" si="9"/>
        <v>28553.122409944935</v>
      </c>
      <c r="I25" s="476">
        <f t="shared" si="0"/>
        <v>0</v>
      </c>
      <c r="J25" s="476"/>
      <c r="K25" s="488"/>
      <c r="L25" s="479">
        <f t="shared" si="1"/>
        <v>0</v>
      </c>
      <c r="M25" s="488"/>
      <c r="N25" s="479">
        <f t="shared" si="2"/>
        <v>0</v>
      </c>
      <c r="O25" s="479">
        <f t="shared" si="3"/>
        <v>0</v>
      </c>
      <c r="P25" s="243"/>
    </row>
    <row r="26" spans="2:16" ht="12.5">
      <c r="B26" s="160" t="str">
        <f t="shared" si="5"/>
        <v/>
      </c>
      <c r="C26" s="473">
        <f>IF(D11="","-",+C25+1)</f>
        <v>2027</v>
      </c>
      <c r="D26" s="484">
        <f>IF(F25+SUM(E$17:E25)=D$10,F25,D$10-SUM(E$17:E25))</f>
        <v>196010.63122923579</v>
      </c>
      <c r="E26" s="485">
        <f t="shared" si="6"/>
        <v>5674.4186046511632</v>
      </c>
      <c r="F26" s="486">
        <f t="shared" si="7"/>
        <v>190336.21262458462</v>
      </c>
      <c r="G26" s="487">
        <f t="shared" si="8"/>
        <v>27900.24460058066</v>
      </c>
      <c r="H26" s="456">
        <f t="shared" si="9"/>
        <v>27900.24460058066</v>
      </c>
      <c r="I26" s="476">
        <f t="shared" si="0"/>
        <v>0</v>
      </c>
      <c r="J26" s="476"/>
      <c r="K26" s="488"/>
      <c r="L26" s="479">
        <f t="shared" si="1"/>
        <v>0</v>
      </c>
      <c r="M26" s="488"/>
      <c r="N26" s="479">
        <f t="shared" si="2"/>
        <v>0</v>
      </c>
      <c r="O26" s="479">
        <f t="shared" si="3"/>
        <v>0</v>
      </c>
      <c r="P26" s="243"/>
    </row>
    <row r="27" spans="2:16" ht="12.5">
      <c r="B27" s="160" t="str">
        <f t="shared" si="5"/>
        <v/>
      </c>
      <c r="C27" s="473">
        <f>IF(D11="","-",+C26+1)</f>
        <v>2028</v>
      </c>
      <c r="D27" s="484">
        <f>IF(F26+SUM(E$17:E26)=D$10,F26,D$10-SUM(E$17:E26))</f>
        <v>190336.21262458462</v>
      </c>
      <c r="E27" s="485">
        <f t="shared" si="6"/>
        <v>5674.4186046511632</v>
      </c>
      <c r="F27" s="486">
        <f t="shared" si="7"/>
        <v>184661.79401993344</v>
      </c>
      <c r="G27" s="487">
        <f t="shared" si="8"/>
        <v>27247.366791216387</v>
      </c>
      <c r="H27" s="456">
        <f t="shared" si="9"/>
        <v>27247.366791216387</v>
      </c>
      <c r="I27" s="476">
        <f t="shared" si="0"/>
        <v>0</v>
      </c>
      <c r="J27" s="476"/>
      <c r="K27" s="488"/>
      <c r="L27" s="479">
        <f t="shared" si="1"/>
        <v>0</v>
      </c>
      <c r="M27" s="488"/>
      <c r="N27" s="479">
        <f t="shared" si="2"/>
        <v>0</v>
      </c>
      <c r="O27" s="479">
        <f t="shared" si="3"/>
        <v>0</v>
      </c>
      <c r="P27" s="243"/>
    </row>
    <row r="28" spans="2:16" ht="12.5">
      <c r="B28" s="160" t="str">
        <f t="shared" si="5"/>
        <v/>
      </c>
      <c r="C28" s="473">
        <f>IF(D11="","-",+C27+1)</f>
        <v>2029</v>
      </c>
      <c r="D28" s="484">
        <f>IF(F27+SUM(E$17:E27)=D$10,F27,D$10-SUM(E$17:E27))</f>
        <v>184661.79401993344</v>
      </c>
      <c r="E28" s="485">
        <f t="shared" si="6"/>
        <v>5674.4186046511632</v>
      </c>
      <c r="F28" s="486">
        <f t="shared" si="7"/>
        <v>178987.37541528227</v>
      </c>
      <c r="G28" s="487">
        <f t="shared" si="8"/>
        <v>26594.488981852111</v>
      </c>
      <c r="H28" s="456">
        <f t="shared" si="9"/>
        <v>26594.488981852111</v>
      </c>
      <c r="I28" s="476">
        <f t="shared" si="0"/>
        <v>0</v>
      </c>
      <c r="J28" s="476"/>
      <c r="K28" s="488"/>
      <c r="L28" s="479">
        <f t="shared" si="1"/>
        <v>0</v>
      </c>
      <c r="M28" s="488"/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5"/>
        <v/>
      </c>
      <c r="C29" s="473">
        <f>IF(D11="","-",+C28+1)</f>
        <v>2030</v>
      </c>
      <c r="D29" s="484">
        <f>IF(F28+SUM(E$17:E28)=D$10,F28,D$10-SUM(E$17:E28))</f>
        <v>178987.37541528227</v>
      </c>
      <c r="E29" s="485">
        <f t="shared" si="6"/>
        <v>5674.4186046511632</v>
      </c>
      <c r="F29" s="486">
        <f t="shared" si="7"/>
        <v>173312.95681063109</v>
      </c>
      <c r="G29" s="487">
        <f t="shared" si="8"/>
        <v>25941.611172487836</v>
      </c>
      <c r="H29" s="456">
        <f t="shared" si="9"/>
        <v>25941.611172487836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5"/>
        <v/>
      </c>
      <c r="C30" s="473">
        <f>IF(D11="","-",+C29+1)</f>
        <v>2031</v>
      </c>
      <c r="D30" s="484">
        <f>IF(F29+SUM(E$17:E29)=D$10,F29,D$10-SUM(E$17:E29))</f>
        <v>173312.95681063109</v>
      </c>
      <c r="E30" s="485">
        <f t="shared" si="6"/>
        <v>5674.4186046511632</v>
      </c>
      <c r="F30" s="486">
        <f t="shared" si="7"/>
        <v>167638.53820597992</v>
      </c>
      <c r="G30" s="487">
        <f t="shared" si="8"/>
        <v>25288.73336312356</v>
      </c>
      <c r="H30" s="456">
        <f t="shared" si="9"/>
        <v>25288.73336312356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5"/>
        <v/>
      </c>
      <c r="C31" s="473">
        <f>IF(D11="","-",+C30+1)</f>
        <v>2032</v>
      </c>
      <c r="D31" s="484">
        <f>IF(F30+SUM(E$17:E30)=D$10,F30,D$10-SUM(E$17:E30))</f>
        <v>167638.53820597992</v>
      </c>
      <c r="E31" s="485">
        <f t="shared" si="6"/>
        <v>5674.4186046511632</v>
      </c>
      <c r="F31" s="486">
        <f t="shared" si="7"/>
        <v>161964.11960132874</v>
      </c>
      <c r="G31" s="487">
        <f t="shared" si="8"/>
        <v>24635.855553759284</v>
      </c>
      <c r="H31" s="456">
        <f t="shared" si="9"/>
        <v>24635.855553759284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5"/>
        <v/>
      </c>
      <c r="C32" s="473">
        <f>IF(D11="","-",+C31+1)</f>
        <v>2033</v>
      </c>
      <c r="D32" s="484">
        <f>IF(F31+SUM(E$17:E31)=D$10,F31,D$10-SUM(E$17:E31))</f>
        <v>161964.11960132874</v>
      </c>
      <c r="E32" s="485">
        <f t="shared" si="6"/>
        <v>5674.4186046511632</v>
      </c>
      <c r="F32" s="486">
        <f t="shared" si="7"/>
        <v>156289.70099667757</v>
      </c>
      <c r="G32" s="487">
        <f t="shared" si="8"/>
        <v>23982.977744395008</v>
      </c>
      <c r="H32" s="456">
        <f t="shared" si="9"/>
        <v>23982.977744395008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5"/>
        <v/>
      </c>
      <c r="C33" s="473">
        <f>IF(D11="","-",+C32+1)</f>
        <v>2034</v>
      </c>
      <c r="D33" s="484">
        <f>IF(F32+SUM(E$17:E32)=D$10,F32,D$10-SUM(E$17:E32))</f>
        <v>156289.70099667757</v>
      </c>
      <c r="E33" s="485">
        <f t="shared" si="6"/>
        <v>5674.4186046511632</v>
      </c>
      <c r="F33" s="486">
        <f t="shared" si="7"/>
        <v>150615.28239202639</v>
      </c>
      <c r="G33" s="487">
        <f t="shared" si="8"/>
        <v>23330.099935030732</v>
      </c>
      <c r="H33" s="456">
        <f t="shared" si="9"/>
        <v>23330.099935030732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5"/>
        <v/>
      </c>
      <c r="C34" s="473">
        <f>IF(D11="","-",+C33+1)</f>
        <v>2035</v>
      </c>
      <c r="D34" s="484">
        <f>IF(F33+SUM(E$17:E33)=D$10,F33,D$10-SUM(E$17:E33))</f>
        <v>150615.28239202639</v>
      </c>
      <c r="E34" s="485">
        <f t="shared" si="6"/>
        <v>5674.4186046511632</v>
      </c>
      <c r="F34" s="486">
        <f t="shared" si="7"/>
        <v>144940.86378737522</v>
      </c>
      <c r="G34" s="487">
        <f t="shared" si="8"/>
        <v>22677.222125666456</v>
      </c>
      <c r="H34" s="456">
        <f t="shared" si="9"/>
        <v>22677.222125666456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5"/>
        <v/>
      </c>
      <c r="C35" s="473">
        <f>IF(D11="","-",+C34+1)</f>
        <v>2036</v>
      </c>
      <c r="D35" s="484">
        <f>IF(F34+SUM(E$17:E34)=D$10,F34,D$10-SUM(E$17:E34))</f>
        <v>144940.86378737522</v>
      </c>
      <c r="E35" s="485">
        <f t="shared" si="6"/>
        <v>5674.4186046511632</v>
      </c>
      <c r="F35" s="486">
        <f t="shared" si="7"/>
        <v>139266.44518272404</v>
      </c>
      <c r="G35" s="487">
        <f t="shared" si="8"/>
        <v>22024.34431630218</v>
      </c>
      <c r="H35" s="456">
        <f t="shared" si="9"/>
        <v>22024.34431630218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5"/>
        <v/>
      </c>
      <c r="C36" s="473">
        <f>IF(D11="","-",+C35+1)</f>
        <v>2037</v>
      </c>
      <c r="D36" s="484">
        <f>IF(F35+SUM(E$17:E35)=D$10,F35,D$10-SUM(E$17:E35))</f>
        <v>139266.44518272404</v>
      </c>
      <c r="E36" s="485">
        <f t="shared" si="6"/>
        <v>5674.4186046511632</v>
      </c>
      <c r="F36" s="486">
        <f t="shared" si="7"/>
        <v>133592.02657807287</v>
      </c>
      <c r="G36" s="487">
        <f t="shared" si="8"/>
        <v>21371.466506937904</v>
      </c>
      <c r="H36" s="456">
        <f t="shared" si="9"/>
        <v>21371.466506937904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5"/>
        <v/>
      </c>
      <c r="C37" s="473">
        <f>IF(D11="","-",+C36+1)</f>
        <v>2038</v>
      </c>
      <c r="D37" s="484">
        <f>IF(F36+SUM(E$17:E36)=D$10,F36,D$10-SUM(E$17:E36))</f>
        <v>133592.02657807287</v>
      </c>
      <c r="E37" s="485">
        <f t="shared" si="6"/>
        <v>5674.4186046511632</v>
      </c>
      <c r="F37" s="486">
        <f t="shared" si="7"/>
        <v>127917.60797342171</v>
      </c>
      <c r="G37" s="487">
        <f t="shared" si="8"/>
        <v>20718.588697573628</v>
      </c>
      <c r="H37" s="456">
        <f t="shared" si="9"/>
        <v>20718.588697573628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5"/>
        <v/>
      </c>
      <c r="C38" s="473">
        <f>IF(D11="","-",+C37+1)</f>
        <v>2039</v>
      </c>
      <c r="D38" s="484">
        <f>IF(F37+SUM(E$17:E37)=D$10,F37,D$10-SUM(E$17:E37))</f>
        <v>127917.60797342171</v>
      </c>
      <c r="E38" s="485">
        <f t="shared" si="6"/>
        <v>5674.4186046511632</v>
      </c>
      <c r="F38" s="486">
        <f t="shared" si="7"/>
        <v>122243.18936877055</v>
      </c>
      <c r="G38" s="487">
        <f t="shared" si="8"/>
        <v>20065.710888209356</v>
      </c>
      <c r="H38" s="456">
        <f t="shared" si="9"/>
        <v>20065.710888209356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5"/>
        <v/>
      </c>
      <c r="C39" s="473">
        <f>IF(D11="","-",+C38+1)</f>
        <v>2040</v>
      </c>
      <c r="D39" s="484">
        <f>IF(F38+SUM(E$17:E38)=D$10,F38,D$10-SUM(E$17:E38))</f>
        <v>122243.18936877055</v>
      </c>
      <c r="E39" s="485">
        <f t="shared" si="6"/>
        <v>5674.4186046511632</v>
      </c>
      <c r="F39" s="486">
        <f t="shared" si="7"/>
        <v>116568.77076411938</v>
      </c>
      <c r="G39" s="487">
        <f t="shared" si="8"/>
        <v>19412.83307884508</v>
      </c>
      <c r="H39" s="456">
        <f t="shared" si="9"/>
        <v>19412.83307884508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5"/>
        <v/>
      </c>
      <c r="C40" s="473">
        <f>IF(D11="","-",+C39+1)</f>
        <v>2041</v>
      </c>
      <c r="D40" s="484">
        <f>IF(F39+SUM(E$17:E39)=D$10,F39,D$10-SUM(E$17:E39))</f>
        <v>116568.77076411938</v>
      </c>
      <c r="E40" s="485">
        <f t="shared" si="6"/>
        <v>5674.4186046511632</v>
      </c>
      <c r="F40" s="486">
        <f t="shared" si="7"/>
        <v>110894.35215946822</v>
      </c>
      <c r="G40" s="487">
        <f t="shared" si="8"/>
        <v>18759.955269480808</v>
      </c>
      <c r="H40" s="456">
        <f t="shared" si="9"/>
        <v>18759.955269480808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5"/>
        <v/>
      </c>
      <c r="C41" s="473">
        <f>IF(D11="","-",+C40+1)</f>
        <v>2042</v>
      </c>
      <c r="D41" s="484">
        <f>IF(F40+SUM(E$17:E40)=D$10,F40,D$10-SUM(E$17:E40))</f>
        <v>110894.35215946822</v>
      </c>
      <c r="E41" s="485">
        <f t="shared" si="6"/>
        <v>5674.4186046511632</v>
      </c>
      <c r="F41" s="486">
        <f t="shared" si="7"/>
        <v>105219.93355481706</v>
      </c>
      <c r="G41" s="487">
        <f t="shared" si="8"/>
        <v>18107.077460116532</v>
      </c>
      <c r="H41" s="456">
        <f t="shared" si="9"/>
        <v>18107.077460116532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5"/>
        <v/>
      </c>
      <c r="C42" s="473">
        <f>IF(D11="","-",+C41+1)</f>
        <v>2043</v>
      </c>
      <c r="D42" s="484">
        <f>IF(F41+SUM(E$17:E41)=D$10,F41,D$10-SUM(E$17:E41))</f>
        <v>105219.93355481706</v>
      </c>
      <c r="E42" s="485">
        <f t="shared" si="6"/>
        <v>5674.4186046511632</v>
      </c>
      <c r="F42" s="486">
        <f t="shared" si="7"/>
        <v>99545.514950165903</v>
      </c>
      <c r="G42" s="487">
        <f t="shared" si="8"/>
        <v>17454.19965075226</v>
      </c>
      <c r="H42" s="456">
        <f t="shared" si="9"/>
        <v>17454.19965075226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5"/>
        <v/>
      </c>
      <c r="C43" s="473">
        <f>IF(D11="","-",+C42+1)</f>
        <v>2044</v>
      </c>
      <c r="D43" s="484">
        <f>IF(F42+SUM(E$17:E42)=D$10,F42,D$10-SUM(E$17:E42))</f>
        <v>99545.514950165903</v>
      </c>
      <c r="E43" s="485">
        <f t="shared" si="6"/>
        <v>5674.4186046511632</v>
      </c>
      <c r="F43" s="486">
        <f t="shared" si="7"/>
        <v>93871.096345514743</v>
      </c>
      <c r="G43" s="487">
        <f t="shared" si="8"/>
        <v>16801.321841387984</v>
      </c>
      <c r="H43" s="456">
        <f t="shared" si="9"/>
        <v>16801.321841387984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5"/>
        <v/>
      </c>
      <c r="C44" s="473">
        <f>IF(D11="","-",+C43+1)</f>
        <v>2045</v>
      </c>
      <c r="D44" s="484">
        <f>IF(F43+SUM(E$17:E43)=D$10,F43,D$10-SUM(E$17:E43))</f>
        <v>93871.096345514743</v>
      </c>
      <c r="E44" s="485">
        <f t="shared" si="6"/>
        <v>5674.4186046511632</v>
      </c>
      <c r="F44" s="486">
        <f t="shared" si="7"/>
        <v>88196.677740863583</v>
      </c>
      <c r="G44" s="487">
        <f t="shared" si="8"/>
        <v>16148.444032023712</v>
      </c>
      <c r="H44" s="456">
        <f t="shared" si="9"/>
        <v>16148.444032023712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5"/>
        <v/>
      </c>
      <c r="C45" s="473">
        <f>IF(D11="","-",+C44+1)</f>
        <v>2046</v>
      </c>
      <c r="D45" s="484">
        <f>IF(F44+SUM(E$17:E44)=D$10,F44,D$10-SUM(E$17:E44))</f>
        <v>88196.677740863583</v>
      </c>
      <c r="E45" s="485">
        <f t="shared" si="6"/>
        <v>5674.4186046511632</v>
      </c>
      <c r="F45" s="486">
        <f t="shared" si="7"/>
        <v>82522.259136212422</v>
      </c>
      <c r="G45" s="487">
        <f t="shared" si="8"/>
        <v>15495.566222659436</v>
      </c>
      <c r="H45" s="456">
        <f t="shared" si="9"/>
        <v>15495.566222659436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5"/>
        <v/>
      </c>
      <c r="C46" s="473">
        <f>IF(D11="","-",+C45+1)</f>
        <v>2047</v>
      </c>
      <c r="D46" s="484">
        <f>IF(F45+SUM(E$17:E45)=D$10,F45,D$10-SUM(E$17:E45))</f>
        <v>82522.259136212422</v>
      </c>
      <c r="E46" s="485">
        <f t="shared" si="6"/>
        <v>5674.4186046511632</v>
      </c>
      <c r="F46" s="486">
        <f t="shared" si="7"/>
        <v>76847.840531561262</v>
      </c>
      <c r="G46" s="487">
        <f t="shared" si="8"/>
        <v>14842.688413295164</v>
      </c>
      <c r="H46" s="456">
        <f t="shared" si="9"/>
        <v>14842.688413295164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5"/>
        <v/>
      </c>
      <c r="C47" s="473">
        <f>IF(D11="","-",+C46+1)</f>
        <v>2048</v>
      </c>
      <c r="D47" s="484">
        <f>IF(F46+SUM(E$17:E46)=D$10,F46,D$10-SUM(E$17:E46))</f>
        <v>76847.840531561262</v>
      </c>
      <c r="E47" s="485">
        <f t="shared" si="6"/>
        <v>5674.4186046511632</v>
      </c>
      <c r="F47" s="486">
        <f t="shared" si="7"/>
        <v>71173.421926910101</v>
      </c>
      <c r="G47" s="487">
        <f t="shared" si="8"/>
        <v>14189.810603930888</v>
      </c>
      <c r="H47" s="456">
        <f t="shared" si="9"/>
        <v>14189.810603930888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5"/>
        <v/>
      </c>
      <c r="C48" s="473">
        <f>IF(D11="","-",+C47+1)</f>
        <v>2049</v>
      </c>
      <c r="D48" s="484">
        <f>IF(F47+SUM(E$17:E47)=D$10,F47,D$10-SUM(E$17:E47))</f>
        <v>71173.421926910101</v>
      </c>
      <c r="E48" s="485">
        <f t="shared" si="6"/>
        <v>5674.4186046511632</v>
      </c>
      <c r="F48" s="486">
        <f t="shared" si="7"/>
        <v>65499.003322258941</v>
      </c>
      <c r="G48" s="487">
        <f t="shared" si="8"/>
        <v>13536.932794566615</v>
      </c>
      <c r="H48" s="456">
        <f t="shared" si="9"/>
        <v>13536.932794566615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5"/>
        <v/>
      </c>
      <c r="C49" s="473">
        <f>IF(D11="","-",+C48+1)</f>
        <v>2050</v>
      </c>
      <c r="D49" s="484">
        <f>IF(F48+SUM(E$17:E48)=D$10,F48,D$10-SUM(E$17:E48))</f>
        <v>65499.003322258941</v>
      </c>
      <c r="E49" s="485">
        <f t="shared" si="6"/>
        <v>5674.4186046511632</v>
      </c>
      <c r="F49" s="486">
        <f t="shared" si="7"/>
        <v>59824.58471760778</v>
      </c>
      <c r="G49" s="487">
        <f t="shared" si="8"/>
        <v>12884.05498520234</v>
      </c>
      <c r="H49" s="456">
        <f t="shared" si="9"/>
        <v>12884.05498520234</v>
      </c>
      <c r="I49" s="476">
        <f t="shared" si="0"/>
        <v>0</v>
      </c>
      <c r="J49" s="476"/>
      <c r="K49" s="488"/>
      <c r="L49" s="479">
        <f t="shared" si="1"/>
        <v>0</v>
      </c>
      <c r="M49" s="488"/>
      <c r="N49" s="479">
        <f t="shared" si="2"/>
        <v>0</v>
      </c>
      <c r="O49" s="479">
        <f t="shared" si="3"/>
        <v>0</v>
      </c>
      <c r="P49" s="243"/>
    </row>
    <row r="50" spans="2:16" ht="12.5">
      <c r="B50" s="160" t="str">
        <f t="shared" si="5"/>
        <v/>
      </c>
      <c r="C50" s="473">
        <f>IF(D11="","-",+C49+1)</f>
        <v>2051</v>
      </c>
      <c r="D50" s="484">
        <f>IF(F49+SUM(E$17:E49)=D$10,F49,D$10-SUM(E$17:E49))</f>
        <v>59824.58471760778</v>
      </c>
      <c r="E50" s="485">
        <f t="shared" si="6"/>
        <v>5674.4186046511632</v>
      </c>
      <c r="F50" s="486">
        <f t="shared" si="7"/>
        <v>54150.16611295662</v>
      </c>
      <c r="G50" s="487">
        <f t="shared" si="8"/>
        <v>12231.177175838067</v>
      </c>
      <c r="H50" s="456">
        <f t="shared" si="9"/>
        <v>12231.177175838067</v>
      </c>
      <c r="I50" s="476">
        <f t="shared" si="0"/>
        <v>0</v>
      </c>
      <c r="J50" s="476"/>
      <c r="K50" s="488"/>
      <c r="L50" s="479">
        <f t="shared" si="1"/>
        <v>0</v>
      </c>
      <c r="M50" s="488"/>
      <c r="N50" s="479">
        <f t="shared" si="2"/>
        <v>0</v>
      </c>
      <c r="O50" s="479">
        <f t="shared" si="3"/>
        <v>0</v>
      </c>
      <c r="P50" s="243"/>
    </row>
    <row r="51" spans="2:16" ht="12.5">
      <c r="B51" s="160" t="str">
        <f t="shared" si="5"/>
        <v/>
      </c>
      <c r="C51" s="473">
        <f>IF(D11="","-",+C50+1)</f>
        <v>2052</v>
      </c>
      <c r="D51" s="484">
        <f>IF(F50+SUM(E$17:E50)=D$10,F50,D$10-SUM(E$17:E50))</f>
        <v>54150.16611295662</v>
      </c>
      <c r="E51" s="485">
        <f t="shared" si="6"/>
        <v>5674.4186046511632</v>
      </c>
      <c r="F51" s="486">
        <f t="shared" si="7"/>
        <v>48475.74750830546</v>
      </c>
      <c r="G51" s="487">
        <f t="shared" si="8"/>
        <v>11578.299366473793</v>
      </c>
      <c r="H51" s="456">
        <f t="shared" si="9"/>
        <v>11578.299366473793</v>
      </c>
      <c r="I51" s="476">
        <f t="shared" si="0"/>
        <v>0</v>
      </c>
      <c r="J51" s="476"/>
      <c r="K51" s="488"/>
      <c r="L51" s="479">
        <f t="shared" si="1"/>
        <v>0</v>
      </c>
      <c r="M51" s="488"/>
      <c r="N51" s="479">
        <f t="shared" si="2"/>
        <v>0</v>
      </c>
      <c r="O51" s="479">
        <f t="shared" si="3"/>
        <v>0</v>
      </c>
      <c r="P51" s="243"/>
    </row>
    <row r="52" spans="2:16" ht="12.5">
      <c r="B52" s="160" t="str">
        <f t="shared" si="5"/>
        <v/>
      </c>
      <c r="C52" s="473">
        <f>IF(D11="","-",+C51+1)</f>
        <v>2053</v>
      </c>
      <c r="D52" s="484">
        <f>IF(F51+SUM(E$17:E51)=D$10,F51,D$10-SUM(E$17:E51))</f>
        <v>48475.74750830546</v>
      </c>
      <c r="E52" s="485">
        <f t="shared" si="6"/>
        <v>5674.4186046511632</v>
      </c>
      <c r="F52" s="486">
        <f t="shared" si="7"/>
        <v>42801.328903654299</v>
      </c>
      <c r="G52" s="487">
        <f t="shared" si="8"/>
        <v>10925.421557109519</v>
      </c>
      <c r="H52" s="456">
        <f t="shared" si="9"/>
        <v>10925.421557109519</v>
      </c>
      <c r="I52" s="476">
        <f t="shared" si="0"/>
        <v>0</v>
      </c>
      <c r="J52" s="476"/>
      <c r="K52" s="488"/>
      <c r="L52" s="479">
        <f t="shared" si="1"/>
        <v>0</v>
      </c>
      <c r="M52" s="488"/>
      <c r="N52" s="479">
        <f t="shared" si="2"/>
        <v>0</v>
      </c>
      <c r="O52" s="479">
        <f t="shared" si="3"/>
        <v>0</v>
      </c>
      <c r="P52" s="243"/>
    </row>
    <row r="53" spans="2:16" ht="12.5">
      <c r="B53" s="160" t="str">
        <f t="shared" si="5"/>
        <v/>
      </c>
      <c r="C53" s="473">
        <f>IF(D11="","-",+C52+1)</f>
        <v>2054</v>
      </c>
      <c r="D53" s="484">
        <f>IF(F52+SUM(E$17:E52)=D$10,F52,D$10-SUM(E$17:E52))</f>
        <v>42801.328903654299</v>
      </c>
      <c r="E53" s="485">
        <f t="shared" si="6"/>
        <v>5674.4186046511632</v>
      </c>
      <c r="F53" s="486">
        <f t="shared" si="7"/>
        <v>37126.910299003139</v>
      </c>
      <c r="G53" s="487">
        <f t="shared" si="8"/>
        <v>10272.543747745245</v>
      </c>
      <c r="H53" s="456">
        <f t="shared" si="9"/>
        <v>10272.543747745245</v>
      </c>
      <c r="I53" s="476">
        <f t="shared" si="0"/>
        <v>0</v>
      </c>
      <c r="J53" s="476"/>
      <c r="K53" s="488"/>
      <c r="L53" s="479">
        <f t="shared" si="1"/>
        <v>0</v>
      </c>
      <c r="M53" s="488"/>
      <c r="N53" s="479">
        <f t="shared" si="2"/>
        <v>0</v>
      </c>
      <c r="O53" s="479">
        <f t="shared" si="3"/>
        <v>0</v>
      </c>
      <c r="P53" s="243"/>
    </row>
    <row r="54" spans="2:16" ht="12.5">
      <c r="B54" s="160" t="str">
        <f t="shared" si="5"/>
        <v/>
      </c>
      <c r="C54" s="473">
        <f>IF(D11="","-",+C53+1)</f>
        <v>2055</v>
      </c>
      <c r="D54" s="484">
        <f>IF(F53+SUM(E$17:E53)=D$10,F53,D$10-SUM(E$17:E53))</f>
        <v>37126.910299003139</v>
      </c>
      <c r="E54" s="485">
        <f t="shared" si="6"/>
        <v>5674.4186046511632</v>
      </c>
      <c r="F54" s="486">
        <f t="shared" si="7"/>
        <v>31452.491694351975</v>
      </c>
      <c r="G54" s="487">
        <f t="shared" si="8"/>
        <v>9619.6659383809711</v>
      </c>
      <c r="H54" s="456">
        <f t="shared" si="9"/>
        <v>9619.6659383809711</v>
      </c>
      <c r="I54" s="476">
        <f t="shared" si="0"/>
        <v>0</v>
      </c>
      <c r="J54" s="476"/>
      <c r="K54" s="488"/>
      <c r="L54" s="479">
        <f t="shared" si="1"/>
        <v>0</v>
      </c>
      <c r="M54" s="488"/>
      <c r="N54" s="479">
        <f t="shared" si="2"/>
        <v>0</v>
      </c>
      <c r="O54" s="479">
        <f t="shared" si="3"/>
        <v>0</v>
      </c>
      <c r="P54" s="243"/>
    </row>
    <row r="55" spans="2:16" ht="12.5">
      <c r="B55" s="160" t="str">
        <f t="shared" si="5"/>
        <v/>
      </c>
      <c r="C55" s="473">
        <f>IF(D11="","-",+C54+1)</f>
        <v>2056</v>
      </c>
      <c r="D55" s="484">
        <f>IF(F54+SUM(E$17:E54)=D$10,F54,D$10-SUM(E$17:E54))</f>
        <v>31452.491694351975</v>
      </c>
      <c r="E55" s="485">
        <f t="shared" si="6"/>
        <v>5674.4186046511632</v>
      </c>
      <c r="F55" s="486">
        <f t="shared" si="7"/>
        <v>25778.073089700811</v>
      </c>
      <c r="G55" s="487">
        <f t="shared" si="8"/>
        <v>8966.7881290166952</v>
      </c>
      <c r="H55" s="456">
        <f t="shared" si="9"/>
        <v>8966.7881290166952</v>
      </c>
      <c r="I55" s="476">
        <f t="shared" si="0"/>
        <v>0</v>
      </c>
      <c r="J55" s="476"/>
      <c r="K55" s="488"/>
      <c r="L55" s="479">
        <f t="shared" si="1"/>
        <v>0</v>
      </c>
      <c r="M55" s="488"/>
      <c r="N55" s="479">
        <f t="shared" si="2"/>
        <v>0</v>
      </c>
      <c r="O55" s="479">
        <f t="shared" si="3"/>
        <v>0</v>
      </c>
      <c r="P55" s="243"/>
    </row>
    <row r="56" spans="2:16" ht="12.5">
      <c r="B56" s="160" t="str">
        <f t="shared" si="5"/>
        <v/>
      </c>
      <c r="C56" s="473">
        <f>IF(D11="","-",+C55+1)</f>
        <v>2057</v>
      </c>
      <c r="D56" s="484">
        <f>IF(F55+SUM(E$17:E55)=D$10,F55,D$10-SUM(E$17:E55))</f>
        <v>25778.073089700811</v>
      </c>
      <c r="E56" s="485">
        <f t="shared" si="6"/>
        <v>5674.4186046511632</v>
      </c>
      <c r="F56" s="486">
        <f t="shared" si="7"/>
        <v>20103.654485049647</v>
      </c>
      <c r="G56" s="487">
        <f t="shared" si="8"/>
        <v>8313.9103196524229</v>
      </c>
      <c r="H56" s="456">
        <f t="shared" si="9"/>
        <v>8313.9103196524229</v>
      </c>
      <c r="I56" s="476">
        <f t="shared" si="0"/>
        <v>0</v>
      </c>
      <c r="J56" s="476"/>
      <c r="K56" s="488"/>
      <c r="L56" s="479">
        <f t="shared" si="1"/>
        <v>0</v>
      </c>
      <c r="M56" s="488"/>
      <c r="N56" s="479">
        <f t="shared" si="2"/>
        <v>0</v>
      </c>
      <c r="O56" s="479">
        <f t="shared" si="3"/>
        <v>0</v>
      </c>
      <c r="P56" s="243"/>
    </row>
    <row r="57" spans="2:16" ht="12.5">
      <c r="B57" s="160" t="str">
        <f t="shared" si="5"/>
        <v/>
      </c>
      <c r="C57" s="473">
        <f>IF(D11="","-",+C56+1)</f>
        <v>2058</v>
      </c>
      <c r="D57" s="484">
        <f>IF(F56+SUM(E$17:E56)=D$10,F56,D$10-SUM(E$17:E56))</f>
        <v>20103.654485049647</v>
      </c>
      <c r="E57" s="485">
        <f t="shared" si="6"/>
        <v>5674.4186046511632</v>
      </c>
      <c r="F57" s="486">
        <f t="shared" si="7"/>
        <v>14429.235880398483</v>
      </c>
      <c r="G57" s="487">
        <f t="shared" si="8"/>
        <v>7661.032510288147</v>
      </c>
      <c r="H57" s="456">
        <f t="shared" si="9"/>
        <v>7661.032510288147</v>
      </c>
      <c r="I57" s="476">
        <f t="shared" si="0"/>
        <v>0</v>
      </c>
      <c r="J57" s="476"/>
      <c r="K57" s="488"/>
      <c r="L57" s="479">
        <f t="shared" si="1"/>
        <v>0</v>
      </c>
      <c r="M57" s="488"/>
      <c r="N57" s="479">
        <f t="shared" si="2"/>
        <v>0</v>
      </c>
      <c r="O57" s="479">
        <f t="shared" si="3"/>
        <v>0</v>
      </c>
      <c r="P57" s="243"/>
    </row>
    <row r="58" spans="2:16" ht="12.5">
      <c r="B58" s="160" t="str">
        <f t="shared" si="5"/>
        <v/>
      </c>
      <c r="C58" s="473">
        <f>IF(D11="","-",+C57+1)</f>
        <v>2059</v>
      </c>
      <c r="D58" s="484">
        <f>IF(F57+SUM(E$17:E57)=D$10,F57,D$10-SUM(E$17:E57))</f>
        <v>14429.235880398483</v>
      </c>
      <c r="E58" s="485">
        <f t="shared" si="6"/>
        <v>5674.4186046511632</v>
      </c>
      <c r="F58" s="486">
        <f t="shared" si="7"/>
        <v>8754.8172757473185</v>
      </c>
      <c r="G58" s="487">
        <f t="shared" si="8"/>
        <v>7008.154700923873</v>
      </c>
      <c r="H58" s="456">
        <f t="shared" si="9"/>
        <v>7008.154700923873</v>
      </c>
      <c r="I58" s="476">
        <f t="shared" si="0"/>
        <v>0</v>
      </c>
      <c r="J58" s="476"/>
      <c r="K58" s="488"/>
      <c r="L58" s="479">
        <f t="shared" si="1"/>
        <v>0</v>
      </c>
      <c r="M58" s="488"/>
      <c r="N58" s="479">
        <f t="shared" si="2"/>
        <v>0</v>
      </c>
      <c r="O58" s="479">
        <f t="shared" si="3"/>
        <v>0</v>
      </c>
      <c r="P58" s="243"/>
    </row>
    <row r="59" spans="2:16" ht="12.5">
      <c r="B59" s="160" t="str">
        <f t="shared" si="5"/>
        <v/>
      </c>
      <c r="C59" s="473">
        <f>IF(D11="","-",+C58+1)</f>
        <v>2060</v>
      </c>
      <c r="D59" s="484">
        <f>IF(F58+SUM(E$17:E58)=D$10,F58,D$10-SUM(E$17:E58))</f>
        <v>8754.8172757473185</v>
      </c>
      <c r="E59" s="485">
        <f t="shared" si="6"/>
        <v>5674.4186046511632</v>
      </c>
      <c r="F59" s="486">
        <f t="shared" si="7"/>
        <v>3080.3986710961553</v>
      </c>
      <c r="G59" s="487">
        <f t="shared" si="8"/>
        <v>6355.2768915595989</v>
      </c>
      <c r="H59" s="456">
        <f t="shared" si="9"/>
        <v>6355.2768915595989</v>
      </c>
      <c r="I59" s="476">
        <f t="shared" si="0"/>
        <v>0</v>
      </c>
      <c r="J59" s="476"/>
      <c r="K59" s="488"/>
      <c r="L59" s="479">
        <f t="shared" si="1"/>
        <v>0</v>
      </c>
      <c r="M59" s="488"/>
      <c r="N59" s="479">
        <f t="shared" si="2"/>
        <v>0</v>
      </c>
      <c r="O59" s="479">
        <f t="shared" si="3"/>
        <v>0</v>
      </c>
      <c r="P59" s="243"/>
    </row>
    <row r="60" spans="2:16" ht="12.5">
      <c r="B60" s="160" t="str">
        <f t="shared" si="5"/>
        <v/>
      </c>
      <c r="C60" s="473">
        <f>IF(D11="","-",+C59+1)</f>
        <v>2061</v>
      </c>
      <c r="D60" s="484">
        <f>IF(F59+SUM(E$17:E59)=D$10,F59,D$10-SUM(E$17:E59))</f>
        <v>3080.3986710961553</v>
      </c>
      <c r="E60" s="485">
        <f t="shared" si="6"/>
        <v>3080.3986710961553</v>
      </c>
      <c r="F60" s="486">
        <f t="shared" si="7"/>
        <v>0</v>
      </c>
      <c r="G60" s="487">
        <f t="shared" si="8"/>
        <v>3257.6083622093047</v>
      </c>
      <c r="H60" s="456">
        <f t="shared" si="9"/>
        <v>3257.6083622093047</v>
      </c>
      <c r="I60" s="476">
        <f t="shared" si="0"/>
        <v>0</v>
      </c>
      <c r="J60" s="476"/>
      <c r="K60" s="488"/>
      <c r="L60" s="479">
        <f t="shared" si="1"/>
        <v>0</v>
      </c>
      <c r="M60" s="488"/>
      <c r="N60" s="479">
        <f t="shared" si="2"/>
        <v>0</v>
      </c>
      <c r="O60" s="479">
        <f t="shared" si="3"/>
        <v>0</v>
      </c>
      <c r="P60" s="243"/>
    </row>
    <row r="61" spans="2:16" ht="12.5">
      <c r="B61" s="160" t="str">
        <f t="shared" si="5"/>
        <v/>
      </c>
      <c r="C61" s="473">
        <f>IF(D11="","-",+C60+1)</f>
        <v>2062</v>
      </c>
      <c r="D61" s="484">
        <f>IF(F60+SUM(E$17:E60)=D$10,F60,D$10-SUM(E$17:E60))</f>
        <v>0</v>
      </c>
      <c r="E61" s="485">
        <f t="shared" si="6"/>
        <v>0</v>
      </c>
      <c r="F61" s="486">
        <f t="shared" si="7"/>
        <v>0</v>
      </c>
      <c r="G61" s="487">
        <f t="shared" si="8"/>
        <v>0</v>
      </c>
      <c r="H61" s="456">
        <f t="shared" si="9"/>
        <v>0</v>
      </c>
      <c r="I61" s="476">
        <f t="shared" si="0"/>
        <v>0</v>
      </c>
      <c r="J61" s="476"/>
      <c r="K61" s="488"/>
      <c r="L61" s="479">
        <f t="shared" si="1"/>
        <v>0</v>
      </c>
      <c r="M61" s="488"/>
      <c r="N61" s="479">
        <f t="shared" si="2"/>
        <v>0</v>
      </c>
      <c r="O61" s="479">
        <f t="shared" si="3"/>
        <v>0</v>
      </c>
      <c r="P61" s="243"/>
    </row>
    <row r="62" spans="2:16" ht="12.5">
      <c r="B62" s="160" t="str">
        <f t="shared" si="5"/>
        <v/>
      </c>
      <c r="C62" s="473">
        <f>IF(D11="","-",+C61+1)</f>
        <v>2063</v>
      </c>
      <c r="D62" s="484">
        <f>IF(F61+SUM(E$17:E61)=D$10,F61,D$10-SUM(E$17:E61))</f>
        <v>0</v>
      </c>
      <c r="E62" s="485">
        <f t="shared" si="6"/>
        <v>0</v>
      </c>
      <c r="F62" s="486">
        <f t="shared" si="7"/>
        <v>0</v>
      </c>
      <c r="G62" s="487">
        <f t="shared" si="8"/>
        <v>0</v>
      </c>
      <c r="H62" s="456">
        <f t="shared" si="9"/>
        <v>0</v>
      </c>
      <c r="I62" s="476">
        <f t="shared" si="0"/>
        <v>0</v>
      </c>
      <c r="J62" s="476"/>
      <c r="K62" s="488"/>
      <c r="L62" s="479">
        <f t="shared" si="1"/>
        <v>0</v>
      </c>
      <c r="M62" s="488"/>
      <c r="N62" s="479">
        <f t="shared" si="2"/>
        <v>0</v>
      </c>
      <c r="O62" s="479">
        <f t="shared" si="3"/>
        <v>0</v>
      </c>
      <c r="P62" s="243"/>
    </row>
    <row r="63" spans="2:16" ht="12.5">
      <c r="B63" s="160" t="str">
        <f t="shared" si="5"/>
        <v/>
      </c>
      <c r="C63" s="473">
        <f>IF(D11="","-",+C62+1)</f>
        <v>2064</v>
      </c>
      <c r="D63" s="484">
        <f>IF(F62+SUM(E$17:E62)=D$10,F62,D$10-SUM(E$17:E62))</f>
        <v>0</v>
      </c>
      <c r="E63" s="485">
        <f t="shared" si="6"/>
        <v>0</v>
      </c>
      <c r="F63" s="486">
        <f t="shared" si="7"/>
        <v>0</v>
      </c>
      <c r="G63" s="487">
        <f t="shared" si="8"/>
        <v>0</v>
      </c>
      <c r="H63" s="456">
        <f t="shared" si="9"/>
        <v>0</v>
      </c>
      <c r="I63" s="476">
        <f t="shared" si="0"/>
        <v>0</v>
      </c>
      <c r="J63" s="476"/>
      <c r="K63" s="488"/>
      <c r="L63" s="479">
        <f t="shared" si="1"/>
        <v>0</v>
      </c>
      <c r="M63" s="488"/>
      <c r="N63" s="479">
        <f t="shared" si="2"/>
        <v>0</v>
      </c>
      <c r="O63" s="479">
        <f t="shared" si="3"/>
        <v>0</v>
      </c>
      <c r="P63" s="243"/>
    </row>
    <row r="64" spans="2:16" ht="12.5">
      <c r="B64" s="160" t="str">
        <f t="shared" si="5"/>
        <v/>
      </c>
      <c r="C64" s="473">
        <f>IF(D11="","-",+C63+1)</f>
        <v>2065</v>
      </c>
      <c r="D64" s="484">
        <f>IF(F63+SUM(E$17:E63)=D$10,F63,D$10-SUM(E$17:E63))</f>
        <v>0</v>
      </c>
      <c r="E64" s="485">
        <f t="shared" si="6"/>
        <v>0</v>
      </c>
      <c r="F64" s="486">
        <f t="shared" si="7"/>
        <v>0</v>
      </c>
      <c r="G64" s="487">
        <f t="shared" si="8"/>
        <v>0</v>
      </c>
      <c r="H64" s="456">
        <f t="shared" si="9"/>
        <v>0</v>
      </c>
      <c r="I64" s="476">
        <f t="shared" si="0"/>
        <v>0</v>
      </c>
      <c r="J64" s="476"/>
      <c r="K64" s="488"/>
      <c r="L64" s="479">
        <f t="shared" si="1"/>
        <v>0</v>
      </c>
      <c r="M64" s="488"/>
      <c r="N64" s="479">
        <f t="shared" si="2"/>
        <v>0</v>
      </c>
      <c r="O64" s="479">
        <f t="shared" si="3"/>
        <v>0</v>
      </c>
      <c r="P64" s="243"/>
    </row>
    <row r="65" spans="2:16" ht="12.5">
      <c r="B65" s="160" t="str">
        <f t="shared" si="5"/>
        <v/>
      </c>
      <c r="C65" s="473">
        <f>IF(D11="","-",+C64+1)</f>
        <v>2066</v>
      </c>
      <c r="D65" s="484">
        <f>IF(F64+SUM(E$17:E64)=D$10,F64,D$10-SUM(E$17:E64))</f>
        <v>0</v>
      </c>
      <c r="E65" s="485">
        <f t="shared" si="6"/>
        <v>0</v>
      </c>
      <c r="F65" s="486">
        <f t="shared" si="7"/>
        <v>0</v>
      </c>
      <c r="G65" s="487">
        <f t="shared" si="8"/>
        <v>0</v>
      </c>
      <c r="H65" s="456">
        <f t="shared" si="9"/>
        <v>0</v>
      </c>
      <c r="I65" s="476">
        <f t="shared" si="0"/>
        <v>0</v>
      </c>
      <c r="J65" s="476"/>
      <c r="K65" s="488"/>
      <c r="L65" s="479">
        <f t="shared" si="1"/>
        <v>0</v>
      </c>
      <c r="M65" s="488"/>
      <c r="N65" s="479">
        <f t="shared" si="2"/>
        <v>0</v>
      </c>
      <c r="O65" s="479">
        <f t="shared" si="3"/>
        <v>0</v>
      </c>
      <c r="P65" s="243"/>
    </row>
    <row r="66" spans="2:16" ht="12.5">
      <c r="B66" s="160" t="str">
        <f t="shared" si="5"/>
        <v/>
      </c>
      <c r="C66" s="473">
        <f>IF(D11="","-",+C65+1)</f>
        <v>2067</v>
      </c>
      <c r="D66" s="484">
        <f>IF(F65+SUM(E$17:E65)=D$10,F65,D$10-SUM(E$17:E65))</f>
        <v>0</v>
      </c>
      <c r="E66" s="485">
        <f t="shared" si="6"/>
        <v>0</v>
      </c>
      <c r="F66" s="486">
        <f t="shared" si="7"/>
        <v>0</v>
      </c>
      <c r="G66" s="487">
        <f t="shared" si="8"/>
        <v>0</v>
      </c>
      <c r="H66" s="456">
        <f t="shared" si="9"/>
        <v>0</v>
      </c>
      <c r="I66" s="476">
        <f t="shared" si="0"/>
        <v>0</v>
      </c>
      <c r="J66" s="476"/>
      <c r="K66" s="488"/>
      <c r="L66" s="479">
        <f t="shared" si="1"/>
        <v>0</v>
      </c>
      <c r="M66" s="488"/>
      <c r="N66" s="479">
        <f t="shared" si="2"/>
        <v>0</v>
      </c>
      <c r="O66" s="479">
        <f t="shared" si="3"/>
        <v>0</v>
      </c>
      <c r="P66" s="243"/>
    </row>
    <row r="67" spans="2:16" ht="12.5">
      <c r="B67" s="160" t="str">
        <f t="shared" si="5"/>
        <v/>
      </c>
      <c r="C67" s="473">
        <f>IF(D11="","-",+C66+1)</f>
        <v>2068</v>
      </c>
      <c r="D67" s="484">
        <f>IF(F66+SUM(E$17:E66)=D$10,F66,D$10-SUM(E$17:E66))</f>
        <v>0</v>
      </c>
      <c r="E67" s="485">
        <f t="shared" si="6"/>
        <v>0</v>
      </c>
      <c r="F67" s="486">
        <f t="shared" si="7"/>
        <v>0</v>
      </c>
      <c r="G67" s="487">
        <f t="shared" si="8"/>
        <v>0</v>
      </c>
      <c r="H67" s="456">
        <f t="shared" si="9"/>
        <v>0</v>
      </c>
      <c r="I67" s="476">
        <f t="shared" si="0"/>
        <v>0</v>
      </c>
      <c r="J67" s="476"/>
      <c r="K67" s="488"/>
      <c r="L67" s="479">
        <f t="shared" si="1"/>
        <v>0</v>
      </c>
      <c r="M67" s="488"/>
      <c r="N67" s="479">
        <f t="shared" si="2"/>
        <v>0</v>
      </c>
      <c r="O67" s="479">
        <f t="shared" si="3"/>
        <v>0</v>
      </c>
      <c r="P67" s="243"/>
    </row>
    <row r="68" spans="2:16" ht="12.5">
      <c r="B68" s="160" t="str">
        <f t="shared" si="5"/>
        <v/>
      </c>
      <c r="C68" s="473">
        <f>IF(D11="","-",+C67+1)</f>
        <v>2069</v>
      </c>
      <c r="D68" s="484">
        <f>IF(F67+SUM(E$17:E67)=D$10,F67,D$10-SUM(E$17:E67))</f>
        <v>0</v>
      </c>
      <c r="E68" s="485">
        <f t="shared" si="6"/>
        <v>0</v>
      </c>
      <c r="F68" s="486">
        <f t="shared" si="7"/>
        <v>0</v>
      </c>
      <c r="G68" s="487">
        <f t="shared" si="8"/>
        <v>0</v>
      </c>
      <c r="H68" s="456">
        <f t="shared" si="9"/>
        <v>0</v>
      </c>
      <c r="I68" s="476">
        <f t="shared" si="0"/>
        <v>0</v>
      </c>
      <c r="J68" s="476"/>
      <c r="K68" s="488"/>
      <c r="L68" s="479">
        <f t="shared" si="1"/>
        <v>0</v>
      </c>
      <c r="M68" s="488"/>
      <c r="N68" s="479">
        <f t="shared" si="2"/>
        <v>0</v>
      </c>
      <c r="O68" s="479">
        <f t="shared" si="3"/>
        <v>0</v>
      </c>
      <c r="P68" s="243"/>
    </row>
    <row r="69" spans="2:16" ht="12.5">
      <c r="B69" s="160" t="str">
        <f t="shared" si="5"/>
        <v/>
      </c>
      <c r="C69" s="473">
        <f>IF(D11="","-",+C68+1)</f>
        <v>2070</v>
      </c>
      <c r="D69" s="484">
        <f>IF(F68+SUM(E$17:E68)=D$10,F68,D$10-SUM(E$17:E68))</f>
        <v>0</v>
      </c>
      <c r="E69" s="485">
        <f t="shared" si="6"/>
        <v>0</v>
      </c>
      <c r="F69" s="486">
        <f t="shared" si="7"/>
        <v>0</v>
      </c>
      <c r="G69" s="487">
        <f t="shared" si="8"/>
        <v>0</v>
      </c>
      <c r="H69" s="456">
        <f t="shared" si="9"/>
        <v>0</v>
      </c>
      <c r="I69" s="476">
        <f t="shared" si="0"/>
        <v>0</v>
      </c>
      <c r="J69" s="476"/>
      <c r="K69" s="488"/>
      <c r="L69" s="479">
        <f t="shared" si="1"/>
        <v>0</v>
      </c>
      <c r="M69" s="488"/>
      <c r="N69" s="479">
        <f t="shared" si="2"/>
        <v>0</v>
      </c>
      <c r="O69" s="479">
        <f t="shared" si="3"/>
        <v>0</v>
      </c>
      <c r="P69" s="243"/>
    </row>
    <row r="70" spans="2:16" ht="12.5">
      <c r="B70" s="160" t="str">
        <f t="shared" si="5"/>
        <v/>
      </c>
      <c r="C70" s="473">
        <f>IF(D11="","-",+C69+1)</f>
        <v>2071</v>
      </c>
      <c r="D70" s="484">
        <f>IF(F69+SUM(E$17:E69)=D$10,F69,D$10-SUM(E$17:E69))</f>
        <v>0</v>
      </c>
      <c r="E70" s="485">
        <f t="shared" si="6"/>
        <v>0</v>
      </c>
      <c r="F70" s="486">
        <f t="shared" si="7"/>
        <v>0</v>
      </c>
      <c r="G70" s="487">
        <f t="shared" si="8"/>
        <v>0</v>
      </c>
      <c r="H70" s="456">
        <f t="shared" si="9"/>
        <v>0</v>
      </c>
      <c r="I70" s="476">
        <f t="shared" si="0"/>
        <v>0</v>
      </c>
      <c r="J70" s="476"/>
      <c r="K70" s="488"/>
      <c r="L70" s="479">
        <f t="shared" si="1"/>
        <v>0</v>
      </c>
      <c r="M70" s="488"/>
      <c r="N70" s="479">
        <f t="shared" si="2"/>
        <v>0</v>
      </c>
      <c r="O70" s="479">
        <f t="shared" si="3"/>
        <v>0</v>
      </c>
      <c r="P70" s="243"/>
    </row>
    <row r="71" spans="2:16" ht="12.5">
      <c r="B71" s="160" t="str">
        <f t="shared" si="5"/>
        <v/>
      </c>
      <c r="C71" s="473">
        <f>IF(D11="","-",+C70+1)</f>
        <v>2072</v>
      </c>
      <c r="D71" s="484">
        <f>IF(F70+SUM(E$17:E70)=D$10,F70,D$10-SUM(E$17:E70))</f>
        <v>0</v>
      </c>
      <c r="E71" s="485">
        <f t="shared" si="6"/>
        <v>0</v>
      </c>
      <c r="F71" s="486">
        <f t="shared" si="7"/>
        <v>0</v>
      </c>
      <c r="G71" s="487">
        <f t="shared" si="8"/>
        <v>0</v>
      </c>
      <c r="H71" s="456">
        <f t="shared" si="9"/>
        <v>0</v>
      </c>
      <c r="I71" s="476">
        <f t="shared" si="0"/>
        <v>0</v>
      </c>
      <c r="J71" s="476"/>
      <c r="K71" s="488"/>
      <c r="L71" s="479">
        <f t="shared" si="1"/>
        <v>0</v>
      </c>
      <c r="M71" s="488"/>
      <c r="N71" s="479">
        <f t="shared" si="2"/>
        <v>0</v>
      </c>
      <c r="O71" s="479">
        <f t="shared" si="3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2073</v>
      </c>
      <c r="D72" s="613">
        <f>IF(F71+SUM(E$17:E71)=D$10,F71,D$10-SUM(E$17:E71))</f>
        <v>0</v>
      </c>
      <c r="E72" s="492">
        <f t="shared" si="6"/>
        <v>0</v>
      </c>
      <c r="F72" s="491">
        <f t="shared" si="7"/>
        <v>0</v>
      </c>
      <c r="G72" s="545">
        <f t="shared" si="8"/>
        <v>0</v>
      </c>
      <c r="H72" s="436">
        <f t="shared" si="9"/>
        <v>0</v>
      </c>
      <c r="I72" s="494">
        <f t="shared" si="0"/>
        <v>0</v>
      </c>
      <c r="J72" s="476"/>
      <c r="K72" s="495"/>
      <c r="L72" s="496">
        <f t="shared" si="1"/>
        <v>0</v>
      </c>
      <c r="M72" s="495"/>
      <c r="N72" s="496">
        <f t="shared" si="2"/>
        <v>0</v>
      </c>
      <c r="O72" s="496">
        <f t="shared" si="3"/>
        <v>0</v>
      </c>
      <c r="P72" s="243"/>
    </row>
    <row r="73" spans="2:16" ht="12.5">
      <c r="C73" s="347" t="s">
        <v>77</v>
      </c>
      <c r="D73" s="348"/>
      <c r="E73" s="348">
        <f>SUM(E17:E72)</f>
        <v>244000.00000000003</v>
      </c>
      <c r="F73" s="348"/>
      <c r="G73" s="348">
        <f>SUM(G17:G72)</f>
        <v>854432.71779710543</v>
      </c>
      <c r="H73" s="348">
        <f>SUM(H17:H72)</f>
        <v>854432.71779710543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22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30970.52236185109</v>
      </c>
      <c r="N87" s="509">
        <f>IF(J92&lt;D11,0,VLOOKUP(J92,C17:O72,11))</f>
        <v>30970.52236185109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32466.198637614907</v>
      </c>
      <c r="N88" s="513">
        <f>IF(J92&lt;D11,0,VLOOKUP(J92,C99:P154,7))</f>
        <v>32466.198637614907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Northeastern Station 138 kV Terminal Upgrades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1495.6762757638171</v>
      </c>
      <c r="N89" s="518">
        <f>+N88-N87</f>
        <v>1495.6762757638171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TP2015169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244000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6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5674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2837</v>
      </c>
      <c r="F99" s="585">
        <v>241163</v>
      </c>
      <c r="G99" s="609">
        <v>120581.5</v>
      </c>
      <c r="H99" s="588">
        <v>15225.00875134001</v>
      </c>
      <c r="I99" s="608">
        <v>15225.00875134001</v>
      </c>
      <c r="J99" s="479">
        <f t="shared" ref="J99:J130" si="10">+I99-H99</f>
        <v>0</v>
      </c>
      <c r="K99" s="479"/>
      <c r="L99" s="478">
        <f>+H99</f>
        <v>15225.00875134001</v>
      </c>
      <c r="M99" s="478">
        <f t="shared" ref="M99" si="11">IF(L99&lt;&gt;0,+H99-L99,0)</f>
        <v>0</v>
      </c>
      <c r="N99" s="478">
        <f>+I99</f>
        <v>15225.00875134001</v>
      </c>
      <c r="O99" s="478">
        <f t="shared" ref="O99" si="12">IF(N99&lt;&gt;0,+I99-N99,0)</f>
        <v>0</v>
      </c>
      <c r="P99" s="478">
        <f t="shared" ref="P99" si="13">+O99-M99</f>
        <v>0</v>
      </c>
    </row>
    <row r="100" spans="1:16" ht="12.5">
      <c r="B100" s="160" t="str">
        <f>IF(D100=F99,"","IU")</f>
        <v/>
      </c>
      <c r="C100" s="473">
        <f>IF(D93="","-",+C99+1)</f>
        <v>2019</v>
      </c>
      <c r="D100" s="585">
        <v>241163</v>
      </c>
      <c r="E100" s="586">
        <v>5951</v>
      </c>
      <c r="F100" s="587">
        <v>235212</v>
      </c>
      <c r="G100" s="587">
        <v>238187.5</v>
      </c>
      <c r="H100" s="607">
        <v>30511.472087080136</v>
      </c>
      <c r="I100" s="608">
        <v>30511.472087080136</v>
      </c>
      <c r="J100" s="479">
        <f t="shared" si="10"/>
        <v>0</v>
      </c>
      <c r="K100" s="479"/>
      <c r="L100" s="477">
        <f>H100</f>
        <v>30511.472087080136</v>
      </c>
      <c r="M100" s="349">
        <f>IF(L100&lt;&gt;0,+H100-L100,0)</f>
        <v>0</v>
      </c>
      <c r="N100" s="477">
        <f>I100</f>
        <v>30511.472087080136</v>
      </c>
      <c r="O100" s="479">
        <f t="shared" ref="O100:O130" si="14">IF(N100&lt;&gt;0,+I100-N100,0)</f>
        <v>0</v>
      </c>
      <c r="P100" s="479">
        <f t="shared" ref="P100:P130" si="15">+O100-M100</f>
        <v>0</v>
      </c>
    </row>
    <row r="101" spans="1:16" ht="12.5">
      <c r="B101" s="160" t="str">
        <f t="shared" ref="B101:B154" si="16">IF(D101=F100,"","IU")</f>
        <v/>
      </c>
      <c r="C101" s="473">
        <f>IF(D93="","-",+C100+1)</f>
        <v>2020</v>
      </c>
      <c r="D101" s="347">
        <f>IF(F100+SUM(E$99:E100)=D$92,F100,D$92-SUM(E$99:E100))</f>
        <v>235212</v>
      </c>
      <c r="E101" s="485">
        <f t="shared" ref="E101:E154" si="17">IF(+J$96&lt;F100,J$96,D101)</f>
        <v>5674</v>
      </c>
      <c r="F101" s="486">
        <f t="shared" ref="F101:F154" si="18">+D101-E101</f>
        <v>229538</v>
      </c>
      <c r="G101" s="486">
        <f t="shared" ref="G101:G154" si="19">+(F101+D101)/2</f>
        <v>232375</v>
      </c>
      <c r="H101" s="487">
        <f>(D101+F101)/2*J$94+E101</f>
        <v>32466.198637614907</v>
      </c>
      <c r="I101" s="543">
        <f t="shared" ref="I101:I154" si="20">+J$95*G101+E101</f>
        <v>32466.198637614907</v>
      </c>
      <c r="J101" s="479">
        <f t="shared" si="10"/>
        <v>0</v>
      </c>
      <c r="K101" s="479"/>
      <c r="L101" s="488"/>
      <c r="M101" s="479">
        <f t="shared" ref="M101:M130" si="21">IF(L101&lt;&gt;0,+H101-L101,0)</f>
        <v>0</v>
      </c>
      <c r="N101" s="488"/>
      <c r="O101" s="479">
        <f t="shared" si="14"/>
        <v>0</v>
      </c>
      <c r="P101" s="479">
        <f t="shared" si="15"/>
        <v>0</v>
      </c>
    </row>
    <row r="102" spans="1:16" ht="12.5">
      <c r="B102" s="160" t="str">
        <f t="shared" si="16"/>
        <v/>
      </c>
      <c r="C102" s="473">
        <f>IF(D93="","-",+C101+1)</f>
        <v>2021</v>
      </c>
      <c r="D102" s="347">
        <f>IF(F101+SUM(E$99:E101)=D$92,F101,D$92-SUM(E$99:E101))</f>
        <v>229538</v>
      </c>
      <c r="E102" s="485">
        <f t="shared" si="17"/>
        <v>5674</v>
      </c>
      <c r="F102" s="486">
        <f t="shared" si="18"/>
        <v>223864</v>
      </c>
      <c r="G102" s="486">
        <f t="shared" si="19"/>
        <v>226701</v>
      </c>
      <c r="H102" s="487">
        <f t="shared" ref="H102:H153" si="22">(D102+F102)/2*J$94+E102</f>
        <v>31812.00203699166</v>
      </c>
      <c r="I102" s="543">
        <f t="shared" ref="I102:I153" si="23">+J$95*G102+E102</f>
        <v>31812.00203699166</v>
      </c>
      <c r="J102" s="479">
        <f t="shared" si="10"/>
        <v>0</v>
      </c>
      <c r="K102" s="479"/>
      <c r="L102" s="488"/>
      <c r="M102" s="479">
        <f t="shared" si="21"/>
        <v>0</v>
      </c>
      <c r="N102" s="488"/>
      <c r="O102" s="479">
        <f t="shared" si="14"/>
        <v>0</v>
      </c>
      <c r="P102" s="479">
        <f t="shared" si="15"/>
        <v>0</v>
      </c>
    </row>
    <row r="103" spans="1:16" ht="12.5">
      <c r="B103" s="160" t="str">
        <f t="shared" si="16"/>
        <v/>
      </c>
      <c r="C103" s="473">
        <f>IF(D93="","-",+C102+1)</f>
        <v>2022</v>
      </c>
      <c r="D103" s="347">
        <f>IF(F102+SUM(E$99:E102)=D$92,F102,D$92-SUM(E$99:E102))</f>
        <v>223864</v>
      </c>
      <c r="E103" s="485">
        <f t="shared" si="17"/>
        <v>5674</v>
      </c>
      <c r="F103" s="486">
        <f t="shared" si="18"/>
        <v>218190</v>
      </c>
      <c r="G103" s="486">
        <f t="shared" si="19"/>
        <v>221027</v>
      </c>
      <c r="H103" s="487">
        <f t="shared" si="22"/>
        <v>31157.805436368413</v>
      </c>
      <c r="I103" s="543">
        <f t="shared" si="23"/>
        <v>31157.805436368413</v>
      </c>
      <c r="J103" s="479">
        <f t="shared" si="10"/>
        <v>0</v>
      </c>
      <c r="K103" s="479"/>
      <c r="L103" s="488"/>
      <c r="M103" s="479">
        <f t="shared" si="21"/>
        <v>0</v>
      </c>
      <c r="N103" s="488"/>
      <c r="O103" s="479">
        <f t="shared" si="14"/>
        <v>0</v>
      </c>
      <c r="P103" s="479">
        <f t="shared" si="15"/>
        <v>0</v>
      </c>
    </row>
    <row r="104" spans="1:16" ht="12.5">
      <c r="B104" s="160" t="str">
        <f t="shared" si="16"/>
        <v/>
      </c>
      <c r="C104" s="473">
        <f>IF(D93="","-",+C103+1)</f>
        <v>2023</v>
      </c>
      <c r="D104" s="347">
        <f>IF(F103+SUM(E$99:E103)=D$92,F103,D$92-SUM(E$99:E103))</f>
        <v>218190</v>
      </c>
      <c r="E104" s="485">
        <f t="shared" si="17"/>
        <v>5674</v>
      </c>
      <c r="F104" s="486">
        <f t="shared" si="18"/>
        <v>212516</v>
      </c>
      <c r="G104" s="486">
        <f t="shared" si="19"/>
        <v>215353</v>
      </c>
      <c r="H104" s="487">
        <f t="shared" si="22"/>
        <v>30503.608835745166</v>
      </c>
      <c r="I104" s="543">
        <f t="shared" si="23"/>
        <v>30503.608835745166</v>
      </c>
      <c r="J104" s="479">
        <f t="shared" si="10"/>
        <v>0</v>
      </c>
      <c r="K104" s="479"/>
      <c r="L104" s="488"/>
      <c r="M104" s="479">
        <f t="shared" si="21"/>
        <v>0</v>
      </c>
      <c r="N104" s="488"/>
      <c r="O104" s="479">
        <f t="shared" si="14"/>
        <v>0</v>
      </c>
      <c r="P104" s="479">
        <f t="shared" si="15"/>
        <v>0</v>
      </c>
    </row>
    <row r="105" spans="1:16" ht="12.5">
      <c r="B105" s="160" t="str">
        <f t="shared" si="16"/>
        <v/>
      </c>
      <c r="C105" s="473">
        <f>IF(D93="","-",+C104+1)</f>
        <v>2024</v>
      </c>
      <c r="D105" s="347">
        <f>IF(F104+SUM(E$99:E104)=D$92,F104,D$92-SUM(E$99:E104))</f>
        <v>212516</v>
      </c>
      <c r="E105" s="485">
        <f t="shared" si="17"/>
        <v>5674</v>
      </c>
      <c r="F105" s="486">
        <f t="shared" si="18"/>
        <v>206842</v>
      </c>
      <c r="G105" s="486">
        <f t="shared" si="19"/>
        <v>209679</v>
      </c>
      <c r="H105" s="487">
        <f t="shared" si="22"/>
        <v>29849.412235121919</v>
      </c>
      <c r="I105" s="543">
        <f t="shared" si="23"/>
        <v>29849.412235121919</v>
      </c>
      <c r="J105" s="479">
        <f t="shared" si="10"/>
        <v>0</v>
      </c>
      <c r="K105" s="479"/>
      <c r="L105" s="488"/>
      <c r="M105" s="479">
        <f t="shared" si="21"/>
        <v>0</v>
      </c>
      <c r="N105" s="488"/>
      <c r="O105" s="479">
        <f t="shared" si="14"/>
        <v>0</v>
      </c>
      <c r="P105" s="479">
        <f t="shared" si="15"/>
        <v>0</v>
      </c>
    </row>
    <row r="106" spans="1:16" ht="12.5">
      <c r="B106" s="160" t="str">
        <f t="shared" si="16"/>
        <v/>
      </c>
      <c r="C106" s="473">
        <f>IF(D93="","-",+C105+1)</f>
        <v>2025</v>
      </c>
      <c r="D106" s="347">
        <f>IF(F105+SUM(E$99:E105)=D$92,F105,D$92-SUM(E$99:E105))</f>
        <v>206842</v>
      </c>
      <c r="E106" s="485">
        <f t="shared" si="17"/>
        <v>5674</v>
      </c>
      <c r="F106" s="486">
        <f t="shared" si="18"/>
        <v>201168</v>
      </c>
      <c r="G106" s="486">
        <f t="shared" si="19"/>
        <v>204005</v>
      </c>
      <c r="H106" s="487">
        <f t="shared" si="22"/>
        <v>29195.215634498672</v>
      </c>
      <c r="I106" s="543">
        <f t="shared" si="23"/>
        <v>29195.215634498672</v>
      </c>
      <c r="J106" s="479">
        <f t="shared" si="10"/>
        <v>0</v>
      </c>
      <c r="K106" s="479"/>
      <c r="L106" s="488"/>
      <c r="M106" s="479">
        <f t="shared" si="21"/>
        <v>0</v>
      </c>
      <c r="N106" s="488"/>
      <c r="O106" s="479">
        <f t="shared" si="14"/>
        <v>0</v>
      </c>
      <c r="P106" s="479">
        <f t="shared" si="15"/>
        <v>0</v>
      </c>
    </row>
    <row r="107" spans="1:16" ht="12.5">
      <c r="B107" s="160" t="str">
        <f t="shared" si="16"/>
        <v/>
      </c>
      <c r="C107" s="473">
        <f>IF(D93="","-",+C106+1)</f>
        <v>2026</v>
      </c>
      <c r="D107" s="347">
        <f>IF(F106+SUM(E$99:E106)=D$92,F106,D$92-SUM(E$99:E106))</f>
        <v>201168</v>
      </c>
      <c r="E107" s="485">
        <f t="shared" si="17"/>
        <v>5674</v>
      </c>
      <c r="F107" s="486">
        <f t="shared" si="18"/>
        <v>195494</v>
      </c>
      <c r="G107" s="486">
        <f t="shared" si="19"/>
        <v>198331</v>
      </c>
      <c r="H107" s="487">
        <f t="shared" si="22"/>
        <v>28541.019033875426</v>
      </c>
      <c r="I107" s="543">
        <f t="shared" si="23"/>
        <v>28541.019033875426</v>
      </c>
      <c r="J107" s="479">
        <f t="shared" si="10"/>
        <v>0</v>
      </c>
      <c r="K107" s="479"/>
      <c r="L107" s="488"/>
      <c r="M107" s="479">
        <f t="shared" si="21"/>
        <v>0</v>
      </c>
      <c r="N107" s="488"/>
      <c r="O107" s="479">
        <f t="shared" si="14"/>
        <v>0</v>
      </c>
      <c r="P107" s="479">
        <f t="shared" si="15"/>
        <v>0</v>
      </c>
    </row>
    <row r="108" spans="1:16" ht="12.5">
      <c r="B108" s="160" t="str">
        <f t="shared" si="16"/>
        <v/>
      </c>
      <c r="C108" s="473">
        <f>IF(D93="","-",+C107+1)</f>
        <v>2027</v>
      </c>
      <c r="D108" s="347">
        <f>IF(F107+SUM(E$99:E107)=D$92,F107,D$92-SUM(E$99:E107))</f>
        <v>195494</v>
      </c>
      <c r="E108" s="485">
        <f t="shared" si="17"/>
        <v>5674</v>
      </c>
      <c r="F108" s="486">
        <f t="shared" si="18"/>
        <v>189820</v>
      </c>
      <c r="G108" s="486">
        <f t="shared" si="19"/>
        <v>192657</v>
      </c>
      <c r="H108" s="487">
        <f t="shared" si="22"/>
        <v>27886.822433252179</v>
      </c>
      <c r="I108" s="543">
        <f t="shared" si="23"/>
        <v>27886.822433252179</v>
      </c>
      <c r="J108" s="479">
        <f t="shared" si="10"/>
        <v>0</v>
      </c>
      <c r="K108" s="479"/>
      <c r="L108" s="488"/>
      <c r="M108" s="479">
        <f t="shared" si="21"/>
        <v>0</v>
      </c>
      <c r="N108" s="488"/>
      <c r="O108" s="479">
        <f t="shared" si="14"/>
        <v>0</v>
      </c>
      <c r="P108" s="479">
        <f t="shared" si="15"/>
        <v>0</v>
      </c>
    </row>
    <row r="109" spans="1:16" ht="12.5">
      <c r="B109" s="160" t="str">
        <f t="shared" si="16"/>
        <v/>
      </c>
      <c r="C109" s="473">
        <f>IF(D93="","-",+C108+1)</f>
        <v>2028</v>
      </c>
      <c r="D109" s="347">
        <f>IF(F108+SUM(E$99:E108)=D$92,F108,D$92-SUM(E$99:E108))</f>
        <v>189820</v>
      </c>
      <c r="E109" s="485">
        <f t="shared" si="17"/>
        <v>5674</v>
      </c>
      <c r="F109" s="486">
        <f t="shared" si="18"/>
        <v>184146</v>
      </c>
      <c r="G109" s="486">
        <f t="shared" si="19"/>
        <v>186983</v>
      </c>
      <c r="H109" s="487">
        <f t="shared" si="22"/>
        <v>27232.625832628932</v>
      </c>
      <c r="I109" s="543">
        <f t="shared" si="23"/>
        <v>27232.625832628932</v>
      </c>
      <c r="J109" s="479">
        <f t="shared" si="10"/>
        <v>0</v>
      </c>
      <c r="K109" s="479"/>
      <c r="L109" s="488"/>
      <c r="M109" s="479">
        <f t="shared" si="21"/>
        <v>0</v>
      </c>
      <c r="N109" s="488"/>
      <c r="O109" s="479">
        <f t="shared" si="14"/>
        <v>0</v>
      </c>
      <c r="P109" s="479">
        <f t="shared" si="15"/>
        <v>0</v>
      </c>
    </row>
    <row r="110" spans="1:16" ht="12.5">
      <c r="B110" s="160" t="str">
        <f t="shared" si="16"/>
        <v/>
      </c>
      <c r="C110" s="473">
        <f>IF(D93="","-",+C109+1)</f>
        <v>2029</v>
      </c>
      <c r="D110" s="347">
        <f>IF(F109+SUM(E$99:E109)=D$92,F109,D$92-SUM(E$99:E109))</f>
        <v>184146</v>
      </c>
      <c r="E110" s="485">
        <f t="shared" si="17"/>
        <v>5674</v>
      </c>
      <c r="F110" s="486">
        <f t="shared" si="18"/>
        <v>178472</v>
      </c>
      <c r="G110" s="486">
        <f t="shared" si="19"/>
        <v>181309</v>
      </c>
      <c r="H110" s="487">
        <f t="shared" si="22"/>
        <v>26578.429232005685</v>
      </c>
      <c r="I110" s="543">
        <f t="shared" si="23"/>
        <v>26578.429232005685</v>
      </c>
      <c r="J110" s="479">
        <f t="shared" si="10"/>
        <v>0</v>
      </c>
      <c r="K110" s="479"/>
      <c r="L110" s="488"/>
      <c r="M110" s="479">
        <f t="shared" si="21"/>
        <v>0</v>
      </c>
      <c r="N110" s="488"/>
      <c r="O110" s="479">
        <f t="shared" si="14"/>
        <v>0</v>
      </c>
      <c r="P110" s="479">
        <f t="shared" si="15"/>
        <v>0</v>
      </c>
    </row>
    <row r="111" spans="1:16" ht="12.5">
      <c r="B111" s="160" t="str">
        <f t="shared" si="16"/>
        <v/>
      </c>
      <c r="C111" s="473">
        <f>IF(D93="","-",+C110+1)</f>
        <v>2030</v>
      </c>
      <c r="D111" s="347">
        <f>IF(F110+SUM(E$99:E110)=D$92,F110,D$92-SUM(E$99:E110))</f>
        <v>178472</v>
      </c>
      <c r="E111" s="485">
        <f t="shared" si="17"/>
        <v>5674</v>
      </c>
      <c r="F111" s="486">
        <f t="shared" si="18"/>
        <v>172798</v>
      </c>
      <c r="G111" s="486">
        <f t="shared" si="19"/>
        <v>175635</v>
      </c>
      <c r="H111" s="487">
        <f t="shared" si="22"/>
        <v>25924.232631382438</v>
      </c>
      <c r="I111" s="543">
        <f t="shared" si="23"/>
        <v>25924.232631382438</v>
      </c>
      <c r="J111" s="479">
        <f t="shared" si="10"/>
        <v>0</v>
      </c>
      <c r="K111" s="479"/>
      <c r="L111" s="488"/>
      <c r="M111" s="479">
        <f t="shared" si="21"/>
        <v>0</v>
      </c>
      <c r="N111" s="488"/>
      <c r="O111" s="479">
        <f t="shared" si="14"/>
        <v>0</v>
      </c>
      <c r="P111" s="479">
        <f t="shared" si="15"/>
        <v>0</v>
      </c>
    </row>
    <row r="112" spans="1:16" ht="12.5">
      <c r="B112" s="160" t="str">
        <f t="shared" si="16"/>
        <v/>
      </c>
      <c r="C112" s="473">
        <f>IF(D93="","-",+C111+1)</f>
        <v>2031</v>
      </c>
      <c r="D112" s="347">
        <f>IF(F111+SUM(E$99:E111)=D$92,F111,D$92-SUM(E$99:E111))</f>
        <v>172798</v>
      </c>
      <c r="E112" s="485">
        <f t="shared" si="17"/>
        <v>5674</v>
      </c>
      <c r="F112" s="486">
        <f t="shared" si="18"/>
        <v>167124</v>
      </c>
      <c r="G112" s="486">
        <f t="shared" si="19"/>
        <v>169961</v>
      </c>
      <c r="H112" s="487">
        <f t="shared" si="22"/>
        <v>25270.036030759191</v>
      </c>
      <c r="I112" s="543">
        <f t="shared" si="23"/>
        <v>25270.036030759191</v>
      </c>
      <c r="J112" s="479">
        <f t="shared" si="10"/>
        <v>0</v>
      </c>
      <c r="K112" s="479"/>
      <c r="L112" s="488"/>
      <c r="M112" s="479">
        <f t="shared" si="21"/>
        <v>0</v>
      </c>
      <c r="N112" s="488"/>
      <c r="O112" s="479">
        <f t="shared" si="14"/>
        <v>0</v>
      </c>
      <c r="P112" s="479">
        <f t="shared" si="15"/>
        <v>0</v>
      </c>
    </row>
    <row r="113" spans="2:16" ht="12.5">
      <c r="B113" s="160" t="str">
        <f t="shared" si="16"/>
        <v/>
      </c>
      <c r="C113" s="473">
        <f>IF(D93="","-",+C112+1)</f>
        <v>2032</v>
      </c>
      <c r="D113" s="347">
        <f>IF(F112+SUM(E$99:E112)=D$92,F112,D$92-SUM(E$99:E112))</f>
        <v>167124</v>
      </c>
      <c r="E113" s="485">
        <f t="shared" si="17"/>
        <v>5674</v>
      </c>
      <c r="F113" s="486">
        <f t="shared" si="18"/>
        <v>161450</v>
      </c>
      <c r="G113" s="486">
        <f t="shared" si="19"/>
        <v>164287</v>
      </c>
      <c r="H113" s="487">
        <f t="shared" si="22"/>
        <v>24615.839430135944</v>
      </c>
      <c r="I113" s="543">
        <f t="shared" si="23"/>
        <v>24615.839430135944</v>
      </c>
      <c r="J113" s="479">
        <f t="shared" si="10"/>
        <v>0</v>
      </c>
      <c r="K113" s="479"/>
      <c r="L113" s="488"/>
      <c r="M113" s="479">
        <f t="shared" si="21"/>
        <v>0</v>
      </c>
      <c r="N113" s="488"/>
      <c r="O113" s="479">
        <f t="shared" si="14"/>
        <v>0</v>
      </c>
      <c r="P113" s="479">
        <f t="shared" si="15"/>
        <v>0</v>
      </c>
    </row>
    <row r="114" spans="2:16" ht="12.5">
      <c r="B114" s="160" t="str">
        <f t="shared" si="16"/>
        <v/>
      </c>
      <c r="C114" s="473">
        <f>IF(D93="","-",+C113+1)</f>
        <v>2033</v>
      </c>
      <c r="D114" s="347">
        <f>IF(F113+SUM(E$99:E113)=D$92,F113,D$92-SUM(E$99:E113))</f>
        <v>161450</v>
      </c>
      <c r="E114" s="485">
        <f t="shared" si="17"/>
        <v>5674</v>
      </c>
      <c r="F114" s="486">
        <f t="shared" si="18"/>
        <v>155776</v>
      </c>
      <c r="G114" s="486">
        <f t="shared" si="19"/>
        <v>158613</v>
      </c>
      <c r="H114" s="487">
        <f t="shared" si="22"/>
        <v>23961.642829512697</v>
      </c>
      <c r="I114" s="543">
        <f t="shared" si="23"/>
        <v>23961.642829512697</v>
      </c>
      <c r="J114" s="479">
        <f t="shared" si="10"/>
        <v>0</v>
      </c>
      <c r="K114" s="479"/>
      <c r="L114" s="488"/>
      <c r="M114" s="479">
        <f t="shared" si="21"/>
        <v>0</v>
      </c>
      <c r="N114" s="488"/>
      <c r="O114" s="479">
        <f t="shared" si="14"/>
        <v>0</v>
      </c>
      <c r="P114" s="479">
        <f t="shared" si="15"/>
        <v>0</v>
      </c>
    </row>
    <row r="115" spans="2:16" ht="12.5">
      <c r="B115" s="160" t="str">
        <f t="shared" si="16"/>
        <v/>
      </c>
      <c r="C115" s="473">
        <f>IF(D93="","-",+C114+1)</f>
        <v>2034</v>
      </c>
      <c r="D115" s="347">
        <f>IF(F114+SUM(E$99:E114)=D$92,F114,D$92-SUM(E$99:E114))</f>
        <v>155776</v>
      </c>
      <c r="E115" s="485">
        <f t="shared" si="17"/>
        <v>5674</v>
      </c>
      <c r="F115" s="486">
        <f t="shared" si="18"/>
        <v>150102</v>
      </c>
      <c r="G115" s="486">
        <f t="shared" si="19"/>
        <v>152939</v>
      </c>
      <c r="H115" s="487">
        <f t="shared" si="22"/>
        <v>23307.44622888945</v>
      </c>
      <c r="I115" s="543">
        <f t="shared" si="23"/>
        <v>23307.44622888945</v>
      </c>
      <c r="J115" s="479">
        <f t="shared" si="10"/>
        <v>0</v>
      </c>
      <c r="K115" s="479"/>
      <c r="L115" s="488"/>
      <c r="M115" s="479">
        <f t="shared" si="21"/>
        <v>0</v>
      </c>
      <c r="N115" s="488"/>
      <c r="O115" s="479">
        <f t="shared" si="14"/>
        <v>0</v>
      </c>
      <c r="P115" s="479">
        <f t="shared" si="15"/>
        <v>0</v>
      </c>
    </row>
    <row r="116" spans="2:16" ht="12.5">
      <c r="B116" s="160" t="str">
        <f t="shared" si="16"/>
        <v/>
      </c>
      <c r="C116" s="473">
        <f>IF(D93="","-",+C115+1)</f>
        <v>2035</v>
      </c>
      <c r="D116" s="347">
        <f>IF(F115+SUM(E$99:E115)=D$92,F115,D$92-SUM(E$99:E115))</f>
        <v>150102</v>
      </c>
      <c r="E116" s="485">
        <f t="shared" si="17"/>
        <v>5674</v>
      </c>
      <c r="F116" s="486">
        <f t="shared" si="18"/>
        <v>144428</v>
      </c>
      <c r="G116" s="486">
        <f t="shared" si="19"/>
        <v>147265</v>
      </c>
      <c r="H116" s="487">
        <f t="shared" si="22"/>
        <v>22653.249628266203</v>
      </c>
      <c r="I116" s="543">
        <f t="shared" si="23"/>
        <v>22653.249628266203</v>
      </c>
      <c r="J116" s="479">
        <f t="shared" si="10"/>
        <v>0</v>
      </c>
      <c r="K116" s="479"/>
      <c r="L116" s="488"/>
      <c r="M116" s="479">
        <f t="shared" si="21"/>
        <v>0</v>
      </c>
      <c r="N116" s="488"/>
      <c r="O116" s="479">
        <f t="shared" si="14"/>
        <v>0</v>
      </c>
      <c r="P116" s="479">
        <f t="shared" si="15"/>
        <v>0</v>
      </c>
    </row>
    <row r="117" spans="2:16" ht="12.5">
      <c r="B117" s="160" t="str">
        <f t="shared" si="16"/>
        <v/>
      </c>
      <c r="C117" s="473">
        <f>IF(D93="","-",+C116+1)</f>
        <v>2036</v>
      </c>
      <c r="D117" s="347">
        <f>IF(F116+SUM(E$99:E116)=D$92,F116,D$92-SUM(E$99:E116))</f>
        <v>144428</v>
      </c>
      <c r="E117" s="485">
        <f t="shared" si="17"/>
        <v>5674</v>
      </c>
      <c r="F117" s="486">
        <f t="shared" si="18"/>
        <v>138754</v>
      </c>
      <c r="G117" s="486">
        <f t="shared" si="19"/>
        <v>141591</v>
      </c>
      <c r="H117" s="487">
        <f t="shared" si="22"/>
        <v>21999.053027642956</v>
      </c>
      <c r="I117" s="543">
        <f t="shared" si="23"/>
        <v>21999.053027642956</v>
      </c>
      <c r="J117" s="479">
        <f t="shared" si="10"/>
        <v>0</v>
      </c>
      <c r="K117" s="479"/>
      <c r="L117" s="488"/>
      <c r="M117" s="479">
        <f t="shared" si="21"/>
        <v>0</v>
      </c>
      <c r="N117" s="488"/>
      <c r="O117" s="479">
        <f t="shared" si="14"/>
        <v>0</v>
      </c>
      <c r="P117" s="479">
        <f t="shared" si="15"/>
        <v>0</v>
      </c>
    </row>
    <row r="118" spans="2:16" ht="12.5">
      <c r="B118" s="160" t="str">
        <f t="shared" si="16"/>
        <v/>
      </c>
      <c r="C118" s="473">
        <f>IF(D93="","-",+C117+1)</f>
        <v>2037</v>
      </c>
      <c r="D118" s="347">
        <f>IF(F117+SUM(E$99:E117)=D$92,F117,D$92-SUM(E$99:E117))</f>
        <v>138754</v>
      </c>
      <c r="E118" s="485">
        <f t="shared" si="17"/>
        <v>5674</v>
      </c>
      <c r="F118" s="486">
        <f t="shared" si="18"/>
        <v>133080</v>
      </c>
      <c r="G118" s="486">
        <f t="shared" si="19"/>
        <v>135917</v>
      </c>
      <c r="H118" s="487">
        <f t="shared" si="22"/>
        <v>21344.856427019709</v>
      </c>
      <c r="I118" s="543">
        <f t="shared" si="23"/>
        <v>21344.856427019709</v>
      </c>
      <c r="J118" s="479">
        <f t="shared" si="10"/>
        <v>0</v>
      </c>
      <c r="K118" s="479"/>
      <c r="L118" s="488"/>
      <c r="M118" s="479">
        <f t="shared" si="21"/>
        <v>0</v>
      </c>
      <c r="N118" s="488"/>
      <c r="O118" s="479">
        <f t="shared" si="14"/>
        <v>0</v>
      </c>
      <c r="P118" s="479">
        <f t="shared" si="15"/>
        <v>0</v>
      </c>
    </row>
    <row r="119" spans="2:16" ht="12.5">
      <c r="B119" s="160" t="str">
        <f t="shared" si="16"/>
        <v/>
      </c>
      <c r="C119" s="473">
        <f>IF(D93="","-",+C118+1)</f>
        <v>2038</v>
      </c>
      <c r="D119" s="347">
        <f>IF(F118+SUM(E$99:E118)=D$92,F118,D$92-SUM(E$99:E118))</f>
        <v>133080</v>
      </c>
      <c r="E119" s="485">
        <f t="shared" si="17"/>
        <v>5674</v>
      </c>
      <c r="F119" s="486">
        <f t="shared" si="18"/>
        <v>127406</v>
      </c>
      <c r="G119" s="486">
        <f t="shared" si="19"/>
        <v>130243</v>
      </c>
      <c r="H119" s="487">
        <f t="shared" si="22"/>
        <v>20690.659826396462</v>
      </c>
      <c r="I119" s="543">
        <f t="shared" si="23"/>
        <v>20690.659826396462</v>
      </c>
      <c r="J119" s="479">
        <f t="shared" si="10"/>
        <v>0</v>
      </c>
      <c r="K119" s="479"/>
      <c r="L119" s="488"/>
      <c r="M119" s="479">
        <f t="shared" si="21"/>
        <v>0</v>
      </c>
      <c r="N119" s="488"/>
      <c r="O119" s="479">
        <f t="shared" si="14"/>
        <v>0</v>
      </c>
      <c r="P119" s="479">
        <f t="shared" si="15"/>
        <v>0</v>
      </c>
    </row>
    <row r="120" spans="2:16" ht="12.5">
      <c r="B120" s="160" t="str">
        <f t="shared" si="16"/>
        <v/>
      </c>
      <c r="C120" s="473">
        <f>IF(D93="","-",+C119+1)</f>
        <v>2039</v>
      </c>
      <c r="D120" s="347">
        <f>IF(F119+SUM(E$99:E119)=D$92,F119,D$92-SUM(E$99:E119))</f>
        <v>127406</v>
      </c>
      <c r="E120" s="485">
        <f t="shared" si="17"/>
        <v>5674</v>
      </c>
      <c r="F120" s="486">
        <f t="shared" si="18"/>
        <v>121732</v>
      </c>
      <c r="G120" s="486">
        <f t="shared" si="19"/>
        <v>124569</v>
      </c>
      <c r="H120" s="487">
        <f t="shared" si="22"/>
        <v>20036.463225773216</v>
      </c>
      <c r="I120" s="543">
        <f t="shared" si="23"/>
        <v>20036.463225773216</v>
      </c>
      <c r="J120" s="479">
        <f t="shared" si="10"/>
        <v>0</v>
      </c>
      <c r="K120" s="479"/>
      <c r="L120" s="488"/>
      <c r="M120" s="479">
        <f t="shared" si="21"/>
        <v>0</v>
      </c>
      <c r="N120" s="488"/>
      <c r="O120" s="479">
        <f t="shared" si="14"/>
        <v>0</v>
      </c>
      <c r="P120" s="479">
        <f t="shared" si="15"/>
        <v>0</v>
      </c>
    </row>
    <row r="121" spans="2:16" ht="12.5">
      <c r="B121" s="160" t="str">
        <f t="shared" si="16"/>
        <v/>
      </c>
      <c r="C121" s="473">
        <f>IF(D93="","-",+C120+1)</f>
        <v>2040</v>
      </c>
      <c r="D121" s="347">
        <f>IF(F120+SUM(E$99:E120)=D$92,F120,D$92-SUM(E$99:E120))</f>
        <v>121732</v>
      </c>
      <c r="E121" s="485">
        <f t="shared" si="17"/>
        <v>5674</v>
      </c>
      <c r="F121" s="486">
        <f t="shared" si="18"/>
        <v>116058</v>
      </c>
      <c r="G121" s="486">
        <f t="shared" si="19"/>
        <v>118895</v>
      </c>
      <c r="H121" s="487">
        <f t="shared" si="22"/>
        <v>19382.266625149969</v>
      </c>
      <c r="I121" s="543">
        <f t="shared" si="23"/>
        <v>19382.266625149969</v>
      </c>
      <c r="J121" s="479">
        <f t="shared" si="10"/>
        <v>0</v>
      </c>
      <c r="K121" s="479"/>
      <c r="L121" s="488"/>
      <c r="M121" s="479">
        <f t="shared" si="21"/>
        <v>0</v>
      </c>
      <c r="N121" s="488"/>
      <c r="O121" s="479">
        <f t="shared" si="14"/>
        <v>0</v>
      </c>
      <c r="P121" s="479">
        <f t="shared" si="15"/>
        <v>0</v>
      </c>
    </row>
    <row r="122" spans="2:16" ht="12.5">
      <c r="B122" s="160" t="str">
        <f t="shared" si="16"/>
        <v/>
      </c>
      <c r="C122" s="473">
        <f>IF(D93="","-",+C121+1)</f>
        <v>2041</v>
      </c>
      <c r="D122" s="347">
        <f>IF(F121+SUM(E$99:E121)=D$92,F121,D$92-SUM(E$99:E121))</f>
        <v>116058</v>
      </c>
      <c r="E122" s="485">
        <f t="shared" si="17"/>
        <v>5674</v>
      </c>
      <c r="F122" s="486">
        <f t="shared" si="18"/>
        <v>110384</v>
      </c>
      <c r="G122" s="486">
        <f t="shared" si="19"/>
        <v>113221</v>
      </c>
      <c r="H122" s="487">
        <f t="shared" si="22"/>
        <v>18728.070024526722</v>
      </c>
      <c r="I122" s="543">
        <f t="shared" si="23"/>
        <v>18728.070024526722</v>
      </c>
      <c r="J122" s="479">
        <f t="shared" si="10"/>
        <v>0</v>
      </c>
      <c r="K122" s="479"/>
      <c r="L122" s="488"/>
      <c r="M122" s="479">
        <f t="shared" si="21"/>
        <v>0</v>
      </c>
      <c r="N122" s="488"/>
      <c r="O122" s="479">
        <f t="shared" si="14"/>
        <v>0</v>
      </c>
      <c r="P122" s="479">
        <f t="shared" si="15"/>
        <v>0</v>
      </c>
    </row>
    <row r="123" spans="2:16" ht="12.5">
      <c r="B123" s="160" t="str">
        <f t="shared" si="16"/>
        <v/>
      </c>
      <c r="C123" s="473">
        <f>IF(D93="","-",+C122+1)</f>
        <v>2042</v>
      </c>
      <c r="D123" s="347">
        <f>IF(F122+SUM(E$99:E122)=D$92,F122,D$92-SUM(E$99:E122))</f>
        <v>110384</v>
      </c>
      <c r="E123" s="485">
        <f t="shared" si="17"/>
        <v>5674</v>
      </c>
      <c r="F123" s="486">
        <f t="shared" si="18"/>
        <v>104710</v>
      </c>
      <c r="G123" s="486">
        <f t="shared" si="19"/>
        <v>107547</v>
      </c>
      <c r="H123" s="487">
        <f t="shared" si="22"/>
        <v>18073.873423903475</v>
      </c>
      <c r="I123" s="543">
        <f t="shared" si="23"/>
        <v>18073.873423903475</v>
      </c>
      <c r="J123" s="479">
        <f t="shared" si="10"/>
        <v>0</v>
      </c>
      <c r="K123" s="479"/>
      <c r="L123" s="488"/>
      <c r="M123" s="479">
        <f t="shared" si="21"/>
        <v>0</v>
      </c>
      <c r="N123" s="488"/>
      <c r="O123" s="479">
        <f t="shared" si="14"/>
        <v>0</v>
      </c>
      <c r="P123" s="479">
        <f t="shared" si="15"/>
        <v>0</v>
      </c>
    </row>
    <row r="124" spans="2:16" ht="12.5">
      <c r="B124" s="160" t="str">
        <f t="shared" si="16"/>
        <v/>
      </c>
      <c r="C124" s="473">
        <f>IF(D93="","-",+C123+1)</f>
        <v>2043</v>
      </c>
      <c r="D124" s="347">
        <f>IF(F123+SUM(E$99:E123)=D$92,F123,D$92-SUM(E$99:E123))</f>
        <v>104710</v>
      </c>
      <c r="E124" s="485">
        <f t="shared" si="17"/>
        <v>5674</v>
      </c>
      <c r="F124" s="486">
        <f t="shared" si="18"/>
        <v>99036</v>
      </c>
      <c r="G124" s="486">
        <f t="shared" si="19"/>
        <v>101873</v>
      </c>
      <c r="H124" s="487">
        <f t="shared" si="22"/>
        <v>17419.676823280228</v>
      </c>
      <c r="I124" s="543">
        <f t="shared" si="23"/>
        <v>17419.676823280228</v>
      </c>
      <c r="J124" s="479">
        <f t="shared" si="10"/>
        <v>0</v>
      </c>
      <c r="K124" s="479"/>
      <c r="L124" s="488"/>
      <c r="M124" s="479">
        <f t="shared" si="21"/>
        <v>0</v>
      </c>
      <c r="N124" s="488"/>
      <c r="O124" s="479">
        <f t="shared" si="14"/>
        <v>0</v>
      </c>
      <c r="P124" s="479">
        <f t="shared" si="15"/>
        <v>0</v>
      </c>
    </row>
    <row r="125" spans="2:16" ht="12.5">
      <c r="B125" s="160" t="str">
        <f t="shared" si="16"/>
        <v/>
      </c>
      <c r="C125" s="473">
        <f>IF(D93="","-",+C124+1)</f>
        <v>2044</v>
      </c>
      <c r="D125" s="347">
        <f>IF(F124+SUM(E$99:E124)=D$92,F124,D$92-SUM(E$99:E124))</f>
        <v>99036</v>
      </c>
      <c r="E125" s="485">
        <f t="shared" si="17"/>
        <v>5674</v>
      </c>
      <c r="F125" s="486">
        <f t="shared" si="18"/>
        <v>93362</v>
      </c>
      <c r="G125" s="486">
        <f t="shared" si="19"/>
        <v>96199</v>
      </c>
      <c r="H125" s="487">
        <f t="shared" si="22"/>
        <v>16765.480222656981</v>
      </c>
      <c r="I125" s="543">
        <f t="shared" si="23"/>
        <v>16765.480222656981</v>
      </c>
      <c r="J125" s="479">
        <f t="shared" si="10"/>
        <v>0</v>
      </c>
      <c r="K125" s="479"/>
      <c r="L125" s="488"/>
      <c r="M125" s="479">
        <f t="shared" si="21"/>
        <v>0</v>
      </c>
      <c r="N125" s="488"/>
      <c r="O125" s="479">
        <f t="shared" si="14"/>
        <v>0</v>
      </c>
      <c r="P125" s="479">
        <f t="shared" si="15"/>
        <v>0</v>
      </c>
    </row>
    <row r="126" spans="2:16" ht="12.5">
      <c r="B126" s="160" t="str">
        <f t="shared" si="16"/>
        <v/>
      </c>
      <c r="C126" s="473">
        <f>IF(D93="","-",+C125+1)</f>
        <v>2045</v>
      </c>
      <c r="D126" s="347">
        <f>IF(F125+SUM(E$99:E125)=D$92,F125,D$92-SUM(E$99:E125))</f>
        <v>93362</v>
      </c>
      <c r="E126" s="485">
        <f t="shared" si="17"/>
        <v>5674</v>
      </c>
      <c r="F126" s="486">
        <f t="shared" si="18"/>
        <v>87688</v>
      </c>
      <c r="G126" s="486">
        <f t="shared" si="19"/>
        <v>90525</v>
      </c>
      <c r="H126" s="487">
        <f t="shared" si="22"/>
        <v>16111.283622033736</v>
      </c>
      <c r="I126" s="543">
        <f t="shared" si="23"/>
        <v>16111.283622033736</v>
      </c>
      <c r="J126" s="479">
        <f t="shared" si="10"/>
        <v>0</v>
      </c>
      <c r="K126" s="479"/>
      <c r="L126" s="488"/>
      <c r="M126" s="479">
        <f t="shared" si="21"/>
        <v>0</v>
      </c>
      <c r="N126" s="488"/>
      <c r="O126" s="479">
        <f t="shared" si="14"/>
        <v>0</v>
      </c>
      <c r="P126" s="479">
        <f t="shared" si="15"/>
        <v>0</v>
      </c>
    </row>
    <row r="127" spans="2:16" ht="12.5">
      <c r="B127" s="160" t="str">
        <f t="shared" si="16"/>
        <v/>
      </c>
      <c r="C127" s="473">
        <f>IF(D93="","-",+C126+1)</f>
        <v>2046</v>
      </c>
      <c r="D127" s="347">
        <f>IF(F126+SUM(E$99:E126)=D$92,F126,D$92-SUM(E$99:E126))</f>
        <v>87688</v>
      </c>
      <c r="E127" s="485">
        <f t="shared" si="17"/>
        <v>5674</v>
      </c>
      <c r="F127" s="486">
        <f t="shared" si="18"/>
        <v>82014</v>
      </c>
      <c r="G127" s="486">
        <f t="shared" si="19"/>
        <v>84851</v>
      </c>
      <c r="H127" s="487">
        <f t="shared" si="22"/>
        <v>15457.087021410489</v>
      </c>
      <c r="I127" s="543">
        <f t="shared" si="23"/>
        <v>15457.087021410489</v>
      </c>
      <c r="J127" s="479">
        <f t="shared" si="10"/>
        <v>0</v>
      </c>
      <c r="K127" s="479"/>
      <c r="L127" s="488"/>
      <c r="M127" s="479">
        <f t="shared" si="21"/>
        <v>0</v>
      </c>
      <c r="N127" s="488"/>
      <c r="O127" s="479">
        <f t="shared" si="14"/>
        <v>0</v>
      </c>
      <c r="P127" s="479">
        <f t="shared" si="15"/>
        <v>0</v>
      </c>
    </row>
    <row r="128" spans="2:16" ht="12.5">
      <c r="B128" s="160" t="str">
        <f t="shared" si="16"/>
        <v/>
      </c>
      <c r="C128" s="473">
        <f>IF(D93="","-",+C127+1)</f>
        <v>2047</v>
      </c>
      <c r="D128" s="347">
        <f>IF(F127+SUM(E$99:E127)=D$92,F127,D$92-SUM(E$99:E127))</f>
        <v>82014</v>
      </c>
      <c r="E128" s="485">
        <f t="shared" si="17"/>
        <v>5674</v>
      </c>
      <c r="F128" s="486">
        <f t="shared" si="18"/>
        <v>76340</v>
      </c>
      <c r="G128" s="486">
        <f t="shared" si="19"/>
        <v>79177</v>
      </c>
      <c r="H128" s="487">
        <f t="shared" si="22"/>
        <v>14802.890420787242</v>
      </c>
      <c r="I128" s="543">
        <f t="shared" si="23"/>
        <v>14802.890420787242</v>
      </c>
      <c r="J128" s="479">
        <f t="shared" si="10"/>
        <v>0</v>
      </c>
      <c r="K128" s="479"/>
      <c r="L128" s="488"/>
      <c r="M128" s="479">
        <f t="shared" si="21"/>
        <v>0</v>
      </c>
      <c r="N128" s="488"/>
      <c r="O128" s="479">
        <f t="shared" si="14"/>
        <v>0</v>
      </c>
      <c r="P128" s="479">
        <f t="shared" si="15"/>
        <v>0</v>
      </c>
    </row>
    <row r="129" spans="2:16" ht="12.5">
      <c r="B129" s="160" t="str">
        <f t="shared" si="16"/>
        <v/>
      </c>
      <c r="C129" s="473">
        <f>IF(D93="","-",+C128+1)</f>
        <v>2048</v>
      </c>
      <c r="D129" s="347">
        <f>IF(F128+SUM(E$99:E128)=D$92,F128,D$92-SUM(E$99:E128))</f>
        <v>76340</v>
      </c>
      <c r="E129" s="485">
        <f t="shared" si="17"/>
        <v>5674</v>
      </c>
      <c r="F129" s="486">
        <f t="shared" si="18"/>
        <v>70666</v>
      </c>
      <c r="G129" s="486">
        <f t="shared" si="19"/>
        <v>73503</v>
      </c>
      <c r="H129" s="487">
        <f t="shared" si="22"/>
        <v>14148.693820163995</v>
      </c>
      <c r="I129" s="543">
        <f t="shared" si="23"/>
        <v>14148.693820163995</v>
      </c>
      <c r="J129" s="479">
        <f t="shared" si="10"/>
        <v>0</v>
      </c>
      <c r="K129" s="479"/>
      <c r="L129" s="488"/>
      <c r="M129" s="479">
        <f t="shared" si="21"/>
        <v>0</v>
      </c>
      <c r="N129" s="488"/>
      <c r="O129" s="479">
        <f t="shared" si="14"/>
        <v>0</v>
      </c>
      <c r="P129" s="479">
        <f t="shared" si="15"/>
        <v>0</v>
      </c>
    </row>
    <row r="130" spans="2:16" ht="12.5">
      <c r="B130" s="160" t="str">
        <f t="shared" si="16"/>
        <v/>
      </c>
      <c r="C130" s="473">
        <f>IF(D93="","-",+C129+1)</f>
        <v>2049</v>
      </c>
      <c r="D130" s="347">
        <f>IF(F129+SUM(E$99:E129)=D$92,F129,D$92-SUM(E$99:E129))</f>
        <v>70666</v>
      </c>
      <c r="E130" s="485">
        <f t="shared" si="17"/>
        <v>5674</v>
      </c>
      <c r="F130" s="486">
        <f t="shared" si="18"/>
        <v>64992</v>
      </c>
      <c r="G130" s="486">
        <f t="shared" si="19"/>
        <v>67829</v>
      </c>
      <c r="H130" s="487">
        <f t="shared" si="22"/>
        <v>13494.497219540748</v>
      </c>
      <c r="I130" s="543">
        <f t="shared" si="23"/>
        <v>13494.497219540748</v>
      </c>
      <c r="J130" s="479">
        <f t="shared" si="10"/>
        <v>0</v>
      </c>
      <c r="K130" s="479"/>
      <c r="L130" s="488"/>
      <c r="M130" s="479">
        <f t="shared" si="21"/>
        <v>0</v>
      </c>
      <c r="N130" s="488"/>
      <c r="O130" s="479">
        <f t="shared" si="14"/>
        <v>0</v>
      </c>
      <c r="P130" s="479">
        <f t="shared" si="15"/>
        <v>0</v>
      </c>
    </row>
    <row r="131" spans="2:16" ht="12.5">
      <c r="B131" s="160" t="str">
        <f t="shared" si="16"/>
        <v/>
      </c>
      <c r="C131" s="473">
        <f>IF(D93="","-",+C130+1)</f>
        <v>2050</v>
      </c>
      <c r="D131" s="347">
        <f>IF(F130+SUM(E$99:E130)=D$92,F130,D$92-SUM(E$99:E130))</f>
        <v>64992</v>
      </c>
      <c r="E131" s="485">
        <f t="shared" si="17"/>
        <v>5674</v>
      </c>
      <c r="F131" s="486">
        <f t="shared" si="18"/>
        <v>59318</v>
      </c>
      <c r="G131" s="486">
        <f t="shared" si="19"/>
        <v>62155</v>
      </c>
      <c r="H131" s="487">
        <f t="shared" si="22"/>
        <v>12840.300618917503</v>
      </c>
      <c r="I131" s="543">
        <f t="shared" si="23"/>
        <v>12840.300618917503</v>
      </c>
      <c r="J131" s="479">
        <f t="shared" ref="J131:J154" si="24">+I541-H541</f>
        <v>0</v>
      </c>
      <c r="K131" s="479"/>
      <c r="L131" s="488"/>
      <c r="M131" s="479">
        <f t="shared" ref="M131:M154" si="25">IF(L541&lt;&gt;0,+H541-L541,0)</f>
        <v>0</v>
      </c>
      <c r="N131" s="488"/>
      <c r="O131" s="479">
        <f t="shared" ref="O131:O154" si="26">IF(N541&lt;&gt;0,+I541-N541,0)</f>
        <v>0</v>
      </c>
      <c r="P131" s="479">
        <f t="shared" ref="P131:P154" si="27">+O541-M541</f>
        <v>0</v>
      </c>
    </row>
    <row r="132" spans="2:16" ht="12.5">
      <c r="B132" s="160" t="str">
        <f t="shared" si="16"/>
        <v/>
      </c>
      <c r="C132" s="473">
        <f>IF(D93="","-",+C131+1)</f>
        <v>2051</v>
      </c>
      <c r="D132" s="347">
        <f>IF(F131+SUM(E$99:E131)=D$92,F131,D$92-SUM(E$99:E131))</f>
        <v>59318</v>
      </c>
      <c r="E132" s="485">
        <f t="shared" si="17"/>
        <v>5674</v>
      </c>
      <c r="F132" s="486">
        <f t="shared" si="18"/>
        <v>53644</v>
      </c>
      <c r="G132" s="486">
        <f t="shared" si="19"/>
        <v>56481</v>
      </c>
      <c r="H132" s="487">
        <f t="shared" si="22"/>
        <v>12186.104018294256</v>
      </c>
      <c r="I132" s="543">
        <f t="shared" si="23"/>
        <v>12186.104018294256</v>
      </c>
      <c r="J132" s="479">
        <f t="shared" si="24"/>
        <v>0</v>
      </c>
      <c r="K132" s="479"/>
      <c r="L132" s="488"/>
      <c r="M132" s="479">
        <f t="shared" si="25"/>
        <v>0</v>
      </c>
      <c r="N132" s="488"/>
      <c r="O132" s="479">
        <f t="shared" si="26"/>
        <v>0</v>
      </c>
      <c r="P132" s="479">
        <f t="shared" si="27"/>
        <v>0</v>
      </c>
    </row>
    <row r="133" spans="2:16" ht="12.5">
      <c r="B133" s="160" t="str">
        <f t="shared" si="16"/>
        <v/>
      </c>
      <c r="C133" s="473">
        <f>IF(D93="","-",+C132+1)</f>
        <v>2052</v>
      </c>
      <c r="D133" s="347">
        <f>IF(F132+SUM(E$99:E132)=D$92,F132,D$92-SUM(E$99:E132))</f>
        <v>53644</v>
      </c>
      <c r="E133" s="485">
        <f t="shared" si="17"/>
        <v>5674</v>
      </c>
      <c r="F133" s="486">
        <f t="shared" si="18"/>
        <v>47970</v>
      </c>
      <c r="G133" s="486">
        <f t="shared" si="19"/>
        <v>50807</v>
      </c>
      <c r="H133" s="487">
        <f t="shared" si="22"/>
        <v>11531.907417671009</v>
      </c>
      <c r="I133" s="543">
        <f t="shared" si="23"/>
        <v>11531.907417671009</v>
      </c>
      <c r="J133" s="479">
        <f t="shared" si="24"/>
        <v>0</v>
      </c>
      <c r="K133" s="479"/>
      <c r="L133" s="488"/>
      <c r="M133" s="479">
        <f t="shared" si="25"/>
        <v>0</v>
      </c>
      <c r="N133" s="488"/>
      <c r="O133" s="479">
        <f t="shared" si="26"/>
        <v>0</v>
      </c>
      <c r="P133" s="479">
        <f t="shared" si="27"/>
        <v>0</v>
      </c>
    </row>
    <row r="134" spans="2:16" ht="12.5">
      <c r="B134" s="160" t="str">
        <f t="shared" si="16"/>
        <v/>
      </c>
      <c r="C134" s="473">
        <f>IF(D93="","-",+C133+1)</f>
        <v>2053</v>
      </c>
      <c r="D134" s="347">
        <f>IF(F133+SUM(E$99:E133)=D$92,F133,D$92-SUM(E$99:E133))</f>
        <v>47970</v>
      </c>
      <c r="E134" s="485">
        <f t="shared" si="17"/>
        <v>5674</v>
      </c>
      <c r="F134" s="486">
        <f t="shared" si="18"/>
        <v>42296</v>
      </c>
      <c r="G134" s="486">
        <f t="shared" si="19"/>
        <v>45133</v>
      </c>
      <c r="H134" s="487">
        <f t="shared" si="22"/>
        <v>10877.710817047762</v>
      </c>
      <c r="I134" s="543">
        <f t="shared" si="23"/>
        <v>10877.710817047762</v>
      </c>
      <c r="J134" s="479">
        <f t="shared" si="24"/>
        <v>0</v>
      </c>
      <c r="K134" s="479"/>
      <c r="L134" s="488"/>
      <c r="M134" s="479">
        <f t="shared" si="25"/>
        <v>0</v>
      </c>
      <c r="N134" s="488"/>
      <c r="O134" s="479">
        <f t="shared" si="26"/>
        <v>0</v>
      </c>
      <c r="P134" s="479">
        <f t="shared" si="27"/>
        <v>0</v>
      </c>
    </row>
    <row r="135" spans="2:16" ht="12.5">
      <c r="B135" s="160" t="str">
        <f t="shared" si="16"/>
        <v/>
      </c>
      <c r="C135" s="473">
        <f>IF(D93="","-",+C134+1)</f>
        <v>2054</v>
      </c>
      <c r="D135" s="347">
        <f>IF(F134+SUM(E$99:E134)=D$92,F134,D$92-SUM(E$99:E134))</f>
        <v>42296</v>
      </c>
      <c r="E135" s="485">
        <f t="shared" si="17"/>
        <v>5674</v>
      </c>
      <c r="F135" s="486">
        <f t="shared" si="18"/>
        <v>36622</v>
      </c>
      <c r="G135" s="486">
        <f t="shared" si="19"/>
        <v>39459</v>
      </c>
      <c r="H135" s="487">
        <f t="shared" si="22"/>
        <v>10223.514216424515</v>
      </c>
      <c r="I135" s="543">
        <f t="shared" si="23"/>
        <v>10223.514216424515</v>
      </c>
      <c r="J135" s="479">
        <f t="shared" si="24"/>
        <v>0</v>
      </c>
      <c r="K135" s="479"/>
      <c r="L135" s="488"/>
      <c r="M135" s="479">
        <f t="shared" si="25"/>
        <v>0</v>
      </c>
      <c r="N135" s="488"/>
      <c r="O135" s="479">
        <f t="shared" si="26"/>
        <v>0</v>
      </c>
      <c r="P135" s="479">
        <f t="shared" si="27"/>
        <v>0</v>
      </c>
    </row>
    <row r="136" spans="2:16" ht="12.5">
      <c r="B136" s="160" t="str">
        <f t="shared" si="16"/>
        <v/>
      </c>
      <c r="C136" s="473">
        <f>IF(D93="","-",+C135+1)</f>
        <v>2055</v>
      </c>
      <c r="D136" s="347">
        <f>IF(F135+SUM(E$99:E135)=D$92,F135,D$92-SUM(E$99:E135))</f>
        <v>36622</v>
      </c>
      <c r="E136" s="485">
        <f t="shared" si="17"/>
        <v>5674</v>
      </c>
      <c r="F136" s="486">
        <f t="shared" si="18"/>
        <v>30948</v>
      </c>
      <c r="G136" s="486">
        <f t="shared" si="19"/>
        <v>33785</v>
      </c>
      <c r="H136" s="487">
        <f t="shared" si="22"/>
        <v>9569.3176158012684</v>
      </c>
      <c r="I136" s="543">
        <f t="shared" si="23"/>
        <v>9569.3176158012684</v>
      </c>
      <c r="J136" s="479">
        <f t="shared" si="24"/>
        <v>0</v>
      </c>
      <c r="K136" s="479"/>
      <c r="L136" s="488"/>
      <c r="M136" s="479">
        <f t="shared" si="25"/>
        <v>0</v>
      </c>
      <c r="N136" s="488"/>
      <c r="O136" s="479">
        <f t="shared" si="26"/>
        <v>0</v>
      </c>
      <c r="P136" s="479">
        <f t="shared" si="27"/>
        <v>0</v>
      </c>
    </row>
    <row r="137" spans="2:16" ht="12.5">
      <c r="B137" s="160" t="str">
        <f t="shared" si="16"/>
        <v/>
      </c>
      <c r="C137" s="473">
        <f>IF(D93="","-",+C136+1)</f>
        <v>2056</v>
      </c>
      <c r="D137" s="347">
        <f>IF(F136+SUM(E$99:E136)=D$92,F136,D$92-SUM(E$99:E136))</f>
        <v>30948</v>
      </c>
      <c r="E137" s="485">
        <f t="shared" si="17"/>
        <v>5674</v>
      </c>
      <c r="F137" s="486">
        <f t="shared" si="18"/>
        <v>25274</v>
      </c>
      <c r="G137" s="486">
        <f t="shared" si="19"/>
        <v>28111</v>
      </c>
      <c r="H137" s="487">
        <f t="shared" si="22"/>
        <v>8915.1210151780215</v>
      </c>
      <c r="I137" s="543">
        <f t="shared" si="23"/>
        <v>8915.1210151780215</v>
      </c>
      <c r="J137" s="479">
        <f t="shared" si="24"/>
        <v>0</v>
      </c>
      <c r="K137" s="479"/>
      <c r="L137" s="488"/>
      <c r="M137" s="479">
        <f t="shared" si="25"/>
        <v>0</v>
      </c>
      <c r="N137" s="488"/>
      <c r="O137" s="479">
        <f t="shared" si="26"/>
        <v>0</v>
      </c>
      <c r="P137" s="479">
        <f t="shared" si="27"/>
        <v>0</v>
      </c>
    </row>
    <row r="138" spans="2:16" ht="12.5">
      <c r="B138" s="160" t="str">
        <f t="shared" si="16"/>
        <v/>
      </c>
      <c r="C138" s="473">
        <f>IF(D93="","-",+C137+1)</f>
        <v>2057</v>
      </c>
      <c r="D138" s="347">
        <f>IF(F137+SUM(E$99:E137)=D$92,F137,D$92-SUM(E$99:E137))</f>
        <v>25274</v>
      </c>
      <c r="E138" s="485">
        <f t="shared" si="17"/>
        <v>5674</v>
      </c>
      <c r="F138" s="486">
        <f t="shared" si="18"/>
        <v>19600</v>
      </c>
      <c r="G138" s="486">
        <f t="shared" si="19"/>
        <v>22437</v>
      </c>
      <c r="H138" s="487">
        <f t="shared" si="22"/>
        <v>8260.9244145547746</v>
      </c>
      <c r="I138" s="543">
        <f t="shared" si="23"/>
        <v>8260.9244145547746</v>
      </c>
      <c r="J138" s="479">
        <f t="shared" si="24"/>
        <v>0</v>
      </c>
      <c r="K138" s="479"/>
      <c r="L138" s="488"/>
      <c r="M138" s="479">
        <f t="shared" si="25"/>
        <v>0</v>
      </c>
      <c r="N138" s="488"/>
      <c r="O138" s="479">
        <f t="shared" si="26"/>
        <v>0</v>
      </c>
      <c r="P138" s="479">
        <f t="shared" si="27"/>
        <v>0</v>
      </c>
    </row>
    <row r="139" spans="2:16" ht="12.5">
      <c r="B139" s="160" t="str">
        <f t="shared" si="16"/>
        <v/>
      </c>
      <c r="C139" s="473">
        <f>IF(D93="","-",+C138+1)</f>
        <v>2058</v>
      </c>
      <c r="D139" s="347">
        <f>IF(F138+SUM(E$99:E138)=D$92,F138,D$92-SUM(E$99:E138))</f>
        <v>19600</v>
      </c>
      <c r="E139" s="485">
        <f t="shared" si="17"/>
        <v>5674</v>
      </c>
      <c r="F139" s="486">
        <f t="shared" si="18"/>
        <v>13926</v>
      </c>
      <c r="G139" s="486">
        <f t="shared" si="19"/>
        <v>16763</v>
      </c>
      <c r="H139" s="487">
        <f t="shared" si="22"/>
        <v>7606.7278139315276</v>
      </c>
      <c r="I139" s="543">
        <f t="shared" si="23"/>
        <v>7606.7278139315276</v>
      </c>
      <c r="J139" s="479">
        <f t="shared" si="24"/>
        <v>0</v>
      </c>
      <c r="K139" s="479"/>
      <c r="L139" s="488"/>
      <c r="M139" s="479">
        <f t="shared" si="25"/>
        <v>0</v>
      </c>
      <c r="N139" s="488"/>
      <c r="O139" s="479">
        <f t="shared" si="26"/>
        <v>0</v>
      </c>
      <c r="P139" s="479">
        <f t="shared" si="27"/>
        <v>0</v>
      </c>
    </row>
    <row r="140" spans="2:16" ht="12.5">
      <c r="B140" s="160" t="str">
        <f t="shared" si="16"/>
        <v/>
      </c>
      <c r="C140" s="473">
        <f>IF(D93="","-",+C139+1)</f>
        <v>2059</v>
      </c>
      <c r="D140" s="347">
        <f>IF(F139+SUM(E$99:E139)=D$92,F139,D$92-SUM(E$99:E139))</f>
        <v>13926</v>
      </c>
      <c r="E140" s="485">
        <f t="shared" si="17"/>
        <v>5674</v>
      </c>
      <c r="F140" s="486">
        <f t="shared" si="18"/>
        <v>8252</v>
      </c>
      <c r="G140" s="486">
        <f t="shared" si="19"/>
        <v>11089</v>
      </c>
      <c r="H140" s="487">
        <f t="shared" si="22"/>
        <v>6952.5312133082807</v>
      </c>
      <c r="I140" s="543">
        <f t="shared" si="23"/>
        <v>6952.5312133082807</v>
      </c>
      <c r="J140" s="479">
        <f t="shared" si="24"/>
        <v>0</v>
      </c>
      <c r="K140" s="479"/>
      <c r="L140" s="488"/>
      <c r="M140" s="479">
        <f t="shared" si="25"/>
        <v>0</v>
      </c>
      <c r="N140" s="488"/>
      <c r="O140" s="479">
        <f t="shared" si="26"/>
        <v>0</v>
      </c>
      <c r="P140" s="479">
        <f t="shared" si="27"/>
        <v>0</v>
      </c>
    </row>
    <row r="141" spans="2:16" ht="12.5">
      <c r="B141" s="160" t="str">
        <f t="shared" si="16"/>
        <v/>
      </c>
      <c r="C141" s="473">
        <f>IF(D93="","-",+C140+1)</f>
        <v>2060</v>
      </c>
      <c r="D141" s="347">
        <f>IF(F140+SUM(E$99:E140)=D$92,F140,D$92-SUM(E$99:E140))</f>
        <v>8252</v>
      </c>
      <c r="E141" s="485">
        <f t="shared" si="17"/>
        <v>5674</v>
      </c>
      <c r="F141" s="486">
        <f t="shared" si="18"/>
        <v>2578</v>
      </c>
      <c r="G141" s="486">
        <f t="shared" si="19"/>
        <v>5415</v>
      </c>
      <c r="H141" s="487">
        <f t="shared" si="22"/>
        <v>6298.3346126850338</v>
      </c>
      <c r="I141" s="543">
        <f t="shared" si="23"/>
        <v>6298.3346126850338</v>
      </c>
      <c r="J141" s="479">
        <f t="shared" si="24"/>
        <v>0</v>
      </c>
      <c r="K141" s="479"/>
      <c r="L141" s="488"/>
      <c r="M141" s="479">
        <f t="shared" si="25"/>
        <v>0</v>
      </c>
      <c r="N141" s="488"/>
      <c r="O141" s="479">
        <f t="shared" si="26"/>
        <v>0</v>
      </c>
      <c r="P141" s="479">
        <f t="shared" si="27"/>
        <v>0</v>
      </c>
    </row>
    <row r="142" spans="2:16" ht="12.5">
      <c r="B142" s="160" t="str">
        <f t="shared" si="16"/>
        <v/>
      </c>
      <c r="C142" s="473">
        <f>IF(D93="","-",+C141+1)</f>
        <v>2061</v>
      </c>
      <c r="D142" s="347">
        <f>IF(F141+SUM(E$99:E141)=D$92,F141,D$92-SUM(E$99:E141))</f>
        <v>2578</v>
      </c>
      <c r="E142" s="485">
        <f t="shared" si="17"/>
        <v>2578</v>
      </c>
      <c r="F142" s="486">
        <f t="shared" si="18"/>
        <v>0</v>
      </c>
      <c r="G142" s="486">
        <f t="shared" si="19"/>
        <v>1289</v>
      </c>
      <c r="H142" s="487">
        <f t="shared" si="22"/>
        <v>2726.6181561867052</v>
      </c>
      <c r="I142" s="543">
        <f t="shared" si="23"/>
        <v>2726.6181561867052</v>
      </c>
      <c r="J142" s="479">
        <f t="shared" si="24"/>
        <v>0</v>
      </c>
      <c r="K142" s="479"/>
      <c r="L142" s="488"/>
      <c r="M142" s="479">
        <f t="shared" si="25"/>
        <v>0</v>
      </c>
      <c r="N142" s="488"/>
      <c r="O142" s="479">
        <f t="shared" si="26"/>
        <v>0</v>
      </c>
      <c r="P142" s="479">
        <f t="shared" si="27"/>
        <v>0</v>
      </c>
    </row>
    <row r="143" spans="2:16" ht="12.5">
      <c r="B143" s="160" t="str">
        <f t="shared" si="16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17"/>
        <v>0</v>
      </c>
      <c r="F143" s="486">
        <f t="shared" si="18"/>
        <v>0</v>
      </c>
      <c r="G143" s="486">
        <f t="shared" si="19"/>
        <v>0</v>
      </c>
      <c r="H143" s="487">
        <f t="shared" si="22"/>
        <v>0</v>
      </c>
      <c r="I143" s="543">
        <f t="shared" si="23"/>
        <v>0</v>
      </c>
      <c r="J143" s="479">
        <f t="shared" si="24"/>
        <v>0</v>
      </c>
      <c r="K143" s="479"/>
      <c r="L143" s="488"/>
      <c r="M143" s="479">
        <f t="shared" si="25"/>
        <v>0</v>
      </c>
      <c r="N143" s="488"/>
      <c r="O143" s="479">
        <f t="shared" si="26"/>
        <v>0</v>
      </c>
      <c r="P143" s="479">
        <f t="shared" si="27"/>
        <v>0</v>
      </c>
    </row>
    <row r="144" spans="2:16" ht="12.5">
      <c r="B144" s="160" t="str">
        <f t="shared" si="16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17"/>
        <v>0</v>
      </c>
      <c r="F144" s="486">
        <f t="shared" si="18"/>
        <v>0</v>
      </c>
      <c r="G144" s="486">
        <f t="shared" si="19"/>
        <v>0</v>
      </c>
      <c r="H144" s="487">
        <f t="shared" si="22"/>
        <v>0</v>
      </c>
      <c r="I144" s="543">
        <f t="shared" si="23"/>
        <v>0</v>
      </c>
      <c r="J144" s="479">
        <f t="shared" si="24"/>
        <v>0</v>
      </c>
      <c r="K144" s="479"/>
      <c r="L144" s="488"/>
      <c r="M144" s="479">
        <f t="shared" si="25"/>
        <v>0</v>
      </c>
      <c r="N144" s="488"/>
      <c r="O144" s="479">
        <f t="shared" si="26"/>
        <v>0</v>
      </c>
      <c r="P144" s="479">
        <f t="shared" si="27"/>
        <v>0</v>
      </c>
    </row>
    <row r="145" spans="2:16" ht="12.5">
      <c r="B145" s="160" t="str">
        <f t="shared" si="16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17"/>
        <v>0</v>
      </c>
      <c r="F145" s="486">
        <f t="shared" si="18"/>
        <v>0</v>
      </c>
      <c r="G145" s="486">
        <f t="shared" si="19"/>
        <v>0</v>
      </c>
      <c r="H145" s="487">
        <f t="shared" si="22"/>
        <v>0</v>
      </c>
      <c r="I145" s="543">
        <f t="shared" si="23"/>
        <v>0</v>
      </c>
      <c r="J145" s="479">
        <f t="shared" si="24"/>
        <v>0</v>
      </c>
      <c r="K145" s="479"/>
      <c r="L145" s="488"/>
      <c r="M145" s="479">
        <f t="shared" si="25"/>
        <v>0</v>
      </c>
      <c r="N145" s="488"/>
      <c r="O145" s="479">
        <f t="shared" si="26"/>
        <v>0</v>
      </c>
      <c r="P145" s="479">
        <f t="shared" si="27"/>
        <v>0</v>
      </c>
    </row>
    <row r="146" spans="2:16" ht="12.5">
      <c r="B146" s="160" t="str">
        <f t="shared" si="16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17"/>
        <v>0</v>
      </c>
      <c r="F146" s="486">
        <f t="shared" si="18"/>
        <v>0</v>
      </c>
      <c r="G146" s="486">
        <f t="shared" si="19"/>
        <v>0</v>
      </c>
      <c r="H146" s="487">
        <f t="shared" si="22"/>
        <v>0</v>
      </c>
      <c r="I146" s="543">
        <f t="shared" si="23"/>
        <v>0</v>
      </c>
      <c r="J146" s="479">
        <f t="shared" si="24"/>
        <v>0</v>
      </c>
      <c r="K146" s="479"/>
      <c r="L146" s="488"/>
      <c r="M146" s="479">
        <f t="shared" si="25"/>
        <v>0</v>
      </c>
      <c r="N146" s="488"/>
      <c r="O146" s="479">
        <f t="shared" si="26"/>
        <v>0</v>
      </c>
      <c r="P146" s="479">
        <f t="shared" si="27"/>
        <v>0</v>
      </c>
    </row>
    <row r="147" spans="2:16" ht="12.5">
      <c r="B147" s="160" t="str">
        <f t="shared" si="16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17"/>
        <v>0</v>
      </c>
      <c r="F147" s="486">
        <f t="shared" si="18"/>
        <v>0</v>
      </c>
      <c r="G147" s="486">
        <f t="shared" si="19"/>
        <v>0</v>
      </c>
      <c r="H147" s="487">
        <f t="shared" si="22"/>
        <v>0</v>
      </c>
      <c r="I147" s="543">
        <f t="shared" si="23"/>
        <v>0</v>
      </c>
      <c r="J147" s="479">
        <f t="shared" si="24"/>
        <v>0</v>
      </c>
      <c r="K147" s="479"/>
      <c r="L147" s="488"/>
      <c r="M147" s="479">
        <f t="shared" si="25"/>
        <v>0</v>
      </c>
      <c r="N147" s="488"/>
      <c r="O147" s="479">
        <f t="shared" si="26"/>
        <v>0</v>
      </c>
      <c r="P147" s="479">
        <f t="shared" si="27"/>
        <v>0</v>
      </c>
    </row>
    <row r="148" spans="2:16" ht="12.5">
      <c r="B148" s="160" t="str">
        <f t="shared" si="16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17"/>
        <v>0</v>
      </c>
      <c r="F148" s="486">
        <f t="shared" si="18"/>
        <v>0</v>
      </c>
      <c r="G148" s="486">
        <f t="shared" si="19"/>
        <v>0</v>
      </c>
      <c r="H148" s="487">
        <f t="shared" si="22"/>
        <v>0</v>
      </c>
      <c r="I148" s="543">
        <f t="shared" si="23"/>
        <v>0</v>
      </c>
      <c r="J148" s="479">
        <f t="shared" si="24"/>
        <v>0</v>
      </c>
      <c r="K148" s="479"/>
      <c r="L148" s="488"/>
      <c r="M148" s="479">
        <f t="shared" si="25"/>
        <v>0</v>
      </c>
      <c r="N148" s="488"/>
      <c r="O148" s="479">
        <f t="shared" si="26"/>
        <v>0</v>
      </c>
      <c r="P148" s="479">
        <f t="shared" si="27"/>
        <v>0</v>
      </c>
    </row>
    <row r="149" spans="2:16" ht="12.5">
      <c r="B149" s="160" t="str">
        <f t="shared" si="16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17"/>
        <v>0</v>
      </c>
      <c r="F149" s="486">
        <f t="shared" si="18"/>
        <v>0</v>
      </c>
      <c r="G149" s="486">
        <f t="shared" si="19"/>
        <v>0</v>
      </c>
      <c r="H149" s="487">
        <f t="shared" si="22"/>
        <v>0</v>
      </c>
      <c r="I149" s="543">
        <f t="shared" si="23"/>
        <v>0</v>
      </c>
      <c r="J149" s="479">
        <f t="shared" si="24"/>
        <v>0</v>
      </c>
      <c r="K149" s="479"/>
      <c r="L149" s="488"/>
      <c r="M149" s="479">
        <f t="shared" si="25"/>
        <v>0</v>
      </c>
      <c r="N149" s="488"/>
      <c r="O149" s="479">
        <f t="shared" si="26"/>
        <v>0</v>
      </c>
      <c r="P149" s="479">
        <f t="shared" si="27"/>
        <v>0</v>
      </c>
    </row>
    <row r="150" spans="2:16" ht="12.5">
      <c r="B150" s="160" t="str">
        <f t="shared" si="16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17"/>
        <v>0</v>
      </c>
      <c r="F150" s="486">
        <f t="shared" si="18"/>
        <v>0</v>
      </c>
      <c r="G150" s="486">
        <f t="shared" si="19"/>
        <v>0</v>
      </c>
      <c r="H150" s="487">
        <f t="shared" si="22"/>
        <v>0</v>
      </c>
      <c r="I150" s="543">
        <f t="shared" si="23"/>
        <v>0</v>
      </c>
      <c r="J150" s="479">
        <f t="shared" si="24"/>
        <v>0</v>
      </c>
      <c r="K150" s="479"/>
      <c r="L150" s="488"/>
      <c r="M150" s="479">
        <f t="shared" si="25"/>
        <v>0</v>
      </c>
      <c r="N150" s="488"/>
      <c r="O150" s="479">
        <f t="shared" si="26"/>
        <v>0</v>
      </c>
      <c r="P150" s="479">
        <f t="shared" si="27"/>
        <v>0</v>
      </c>
    </row>
    <row r="151" spans="2:16" ht="12.5">
      <c r="B151" s="160" t="str">
        <f t="shared" si="16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17"/>
        <v>0</v>
      </c>
      <c r="F151" s="486">
        <f t="shared" si="18"/>
        <v>0</v>
      </c>
      <c r="G151" s="486">
        <f t="shared" si="19"/>
        <v>0</v>
      </c>
      <c r="H151" s="487">
        <f t="shared" si="22"/>
        <v>0</v>
      </c>
      <c r="I151" s="543">
        <f t="shared" si="23"/>
        <v>0</v>
      </c>
      <c r="J151" s="479">
        <f t="shared" si="24"/>
        <v>0</v>
      </c>
      <c r="K151" s="479"/>
      <c r="L151" s="488"/>
      <c r="M151" s="479">
        <f t="shared" si="25"/>
        <v>0</v>
      </c>
      <c r="N151" s="488"/>
      <c r="O151" s="479">
        <f t="shared" si="26"/>
        <v>0</v>
      </c>
      <c r="P151" s="479">
        <f t="shared" si="27"/>
        <v>0</v>
      </c>
    </row>
    <row r="152" spans="2:16" ht="12.5">
      <c r="B152" s="160" t="str">
        <f t="shared" si="16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17"/>
        <v>0</v>
      </c>
      <c r="F152" s="486">
        <f t="shared" si="18"/>
        <v>0</v>
      </c>
      <c r="G152" s="486">
        <f t="shared" si="19"/>
        <v>0</v>
      </c>
      <c r="H152" s="487">
        <f t="shared" si="22"/>
        <v>0</v>
      </c>
      <c r="I152" s="543">
        <f t="shared" si="23"/>
        <v>0</v>
      </c>
      <c r="J152" s="479">
        <f t="shared" si="24"/>
        <v>0</v>
      </c>
      <c r="K152" s="479"/>
      <c r="L152" s="488"/>
      <c r="M152" s="479">
        <f t="shared" si="25"/>
        <v>0</v>
      </c>
      <c r="N152" s="488"/>
      <c r="O152" s="479">
        <f t="shared" si="26"/>
        <v>0</v>
      </c>
      <c r="P152" s="479">
        <f t="shared" si="27"/>
        <v>0</v>
      </c>
    </row>
    <row r="153" spans="2:16" ht="12.5">
      <c r="B153" s="160" t="str">
        <f t="shared" si="16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17"/>
        <v>0</v>
      </c>
      <c r="F153" s="486">
        <f t="shared" si="18"/>
        <v>0</v>
      </c>
      <c r="G153" s="486">
        <f t="shared" si="19"/>
        <v>0</v>
      </c>
      <c r="H153" s="487">
        <f t="shared" si="22"/>
        <v>0</v>
      </c>
      <c r="I153" s="543">
        <f t="shared" si="23"/>
        <v>0</v>
      </c>
      <c r="J153" s="479">
        <f t="shared" si="24"/>
        <v>0</v>
      </c>
      <c r="K153" s="479"/>
      <c r="L153" s="488"/>
      <c r="M153" s="479">
        <f t="shared" si="25"/>
        <v>0</v>
      </c>
      <c r="N153" s="488"/>
      <c r="O153" s="479">
        <f t="shared" si="26"/>
        <v>0</v>
      </c>
      <c r="P153" s="479">
        <f t="shared" si="27"/>
        <v>0</v>
      </c>
    </row>
    <row r="154" spans="2:16" ht="13" thickBot="1">
      <c r="B154" s="160" t="str">
        <f t="shared" si="16"/>
        <v/>
      </c>
      <c r="C154" s="490">
        <f>IF(D93="","-",+C153+1)</f>
        <v>2073</v>
      </c>
      <c r="D154" s="492">
        <f>IF(F153+SUM(E$99:E153)=D$92,F153,D$92-SUM(E$99:E153))</f>
        <v>0</v>
      </c>
      <c r="E154" s="492">
        <f t="shared" si="17"/>
        <v>0</v>
      </c>
      <c r="F154" s="491">
        <f t="shared" si="18"/>
        <v>0</v>
      </c>
      <c r="G154" s="491">
        <f t="shared" si="19"/>
        <v>0</v>
      </c>
      <c r="H154" s="614">
        <f t="shared" ref="H154" si="28">+J$94*G154+E154</f>
        <v>0</v>
      </c>
      <c r="I154" s="615">
        <f t="shared" si="20"/>
        <v>0</v>
      </c>
      <c r="J154" s="496">
        <f t="shared" si="24"/>
        <v>0</v>
      </c>
      <c r="K154" s="479"/>
      <c r="L154" s="495"/>
      <c r="M154" s="496">
        <f t="shared" si="25"/>
        <v>0</v>
      </c>
      <c r="N154" s="495"/>
      <c r="O154" s="496">
        <f t="shared" si="26"/>
        <v>0</v>
      </c>
      <c r="P154" s="496">
        <f t="shared" si="27"/>
        <v>0</v>
      </c>
    </row>
    <row r="155" spans="2:16" ht="12.5">
      <c r="C155" s="347" t="s">
        <v>77</v>
      </c>
      <c r="D155" s="348"/>
      <c r="E155" s="348">
        <f>SUM(E99:E154)</f>
        <v>244000</v>
      </c>
      <c r="F155" s="348"/>
      <c r="G155" s="348"/>
      <c r="H155" s="348">
        <f>SUM(H99:H154)</f>
        <v>843136.03062575567</v>
      </c>
      <c r="I155" s="348">
        <f>SUM(I99:I154)</f>
        <v>843136.03062575567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67" zoomScale="80" zoomScaleNormal="80" workbookViewId="0">
      <selection activeCell="D93" sqref="D9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23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150275.44361099388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150275.44361099388</v>
      </c>
      <c r="O6" s="233"/>
      <c r="P6" s="233"/>
    </row>
    <row r="7" spans="1:16" ht="13.5" thickBot="1">
      <c r="C7" s="432" t="s">
        <v>46</v>
      </c>
      <c r="D7" s="600" t="s">
        <v>304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305</v>
      </c>
      <c r="E9" s="578" t="s">
        <v>306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1176180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5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27353.023255813954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2018</v>
      </c>
      <c r="D17" s="585">
        <v>0</v>
      </c>
      <c r="E17" s="609">
        <v>19755.555555555555</v>
      </c>
      <c r="F17" s="585">
        <v>1758244.4444444445</v>
      </c>
      <c r="G17" s="609">
        <v>138731.92205669577</v>
      </c>
      <c r="H17" s="588">
        <v>138731.92205669577</v>
      </c>
      <c r="I17" s="476">
        <f>H17-G17</f>
        <v>0</v>
      </c>
      <c r="J17" s="476"/>
      <c r="K17" s="555">
        <f>+G17</f>
        <v>138731.92205669577</v>
      </c>
      <c r="L17" s="478">
        <f t="shared" ref="L17:L72" si="0">IF(K17&lt;&gt;0,+G17-K17,0)</f>
        <v>0</v>
      </c>
      <c r="M17" s="555">
        <f>+H17</f>
        <v>138731.92205669577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2019</v>
      </c>
      <c r="D18" s="585">
        <v>1758244.4444444445</v>
      </c>
      <c r="E18" s="586">
        <v>39511.111111111109</v>
      </c>
      <c r="F18" s="585">
        <v>1718733.3333333335</v>
      </c>
      <c r="G18" s="586">
        <v>274790.21789988282</v>
      </c>
      <c r="H18" s="588">
        <v>274790.21789988282</v>
      </c>
      <c r="I18" s="476">
        <f>H18-G18</f>
        <v>0</v>
      </c>
      <c r="J18" s="476"/>
      <c r="K18" s="479">
        <f>+G18</f>
        <v>274790.21789988282</v>
      </c>
      <c r="L18" s="479">
        <f t="shared" si="0"/>
        <v>0</v>
      </c>
      <c r="M18" s="479">
        <f>+H18</f>
        <v>274790.21789988282</v>
      </c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2020</v>
      </c>
      <c r="D19" s="585">
        <v>1141057.3333333333</v>
      </c>
      <c r="E19" s="586">
        <v>28579.142857142859</v>
      </c>
      <c r="F19" s="585">
        <v>1112478.1904761903</v>
      </c>
      <c r="G19" s="586">
        <v>150275.44361099388</v>
      </c>
      <c r="H19" s="588">
        <v>150275.44361099388</v>
      </c>
      <c r="I19" s="476">
        <f t="shared" ref="I19:I71" si="3">H19-G19</f>
        <v>0</v>
      </c>
      <c r="J19" s="476"/>
      <c r="K19" s="479">
        <f>+G19</f>
        <v>150275.44361099388</v>
      </c>
      <c r="L19" s="479">
        <f t="shared" ref="L19" si="4">IF(K19&lt;&gt;0,+G19-K19,0)</f>
        <v>0</v>
      </c>
      <c r="M19" s="479">
        <f>+H19</f>
        <v>150275.44361099388</v>
      </c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5">IF(D20=F19,"","IU")</f>
        <v>IU</v>
      </c>
      <c r="C20" s="473">
        <f>IF(D11="","-",+C19+1)</f>
        <v>2021</v>
      </c>
      <c r="D20" s="484">
        <f>IF(F19+SUM(E$17:E19)=D$10,F19,D$10-SUM(E$17:E19))</f>
        <v>1088334.1904761905</v>
      </c>
      <c r="E20" s="485">
        <f t="shared" ref="E20:E71" si="6">IF(+I$14&lt;F19,I$14,D20)</f>
        <v>27353.023255813954</v>
      </c>
      <c r="F20" s="486">
        <f t="shared" ref="F20:F71" si="7">+D20-E20</f>
        <v>1060981.1672203767</v>
      </c>
      <c r="G20" s="487">
        <f t="shared" ref="G20:G71" si="8">(D20+F20)/2*I$12+E20</f>
        <v>150999.19743969681</v>
      </c>
      <c r="H20" s="456">
        <f t="shared" ref="H20:H71" si="9">+(D20+F20)/2*I$13+E20</f>
        <v>150999.19743969681</v>
      </c>
      <c r="I20" s="476">
        <f t="shared" si="3"/>
        <v>0</v>
      </c>
      <c r="J20" s="476"/>
      <c r="K20" s="488"/>
      <c r="L20" s="479">
        <f t="shared" si="0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5"/>
        <v/>
      </c>
      <c r="C21" s="473">
        <f>IF(D11="","-",+C20+1)</f>
        <v>2022</v>
      </c>
      <c r="D21" s="484">
        <f>IF(F20+SUM(E$17:E20)=D$10,F20,D$10-SUM(E$17:E20))</f>
        <v>1060981.1672203767</v>
      </c>
      <c r="E21" s="485">
        <f t="shared" si="6"/>
        <v>27353.023255813954</v>
      </c>
      <c r="F21" s="486">
        <f t="shared" si="7"/>
        <v>1033628.1439645627</v>
      </c>
      <c r="G21" s="487">
        <f t="shared" si="8"/>
        <v>147852.05882568832</v>
      </c>
      <c r="H21" s="456">
        <f t="shared" si="9"/>
        <v>147852.05882568832</v>
      </c>
      <c r="I21" s="476">
        <f t="shared" si="3"/>
        <v>0</v>
      </c>
      <c r="J21" s="476"/>
      <c r="K21" s="488"/>
      <c r="L21" s="479">
        <f t="shared" si="0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5"/>
        <v/>
      </c>
      <c r="C22" s="473">
        <f>IF(D11="","-",+C21+1)</f>
        <v>2023</v>
      </c>
      <c r="D22" s="484">
        <f>IF(F21+SUM(E$17:E21)=D$10,F21,D$10-SUM(E$17:E21))</f>
        <v>1033628.1439645627</v>
      </c>
      <c r="E22" s="485">
        <f t="shared" si="6"/>
        <v>27353.023255813954</v>
      </c>
      <c r="F22" s="486">
        <f t="shared" si="7"/>
        <v>1006275.1207087487</v>
      </c>
      <c r="G22" s="487">
        <f t="shared" si="8"/>
        <v>144704.92021167983</v>
      </c>
      <c r="H22" s="456">
        <f t="shared" si="9"/>
        <v>144704.92021167983</v>
      </c>
      <c r="I22" s="476">
        <f t="shared" si="3"/>
        <v>0</v>
      </c>
      <c r="J22" s="476"/>
      <c r="K22" s="488"/>
      <c r="L22" s="479">
        <f t="shared" si="0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5"/>
        <v/>
      </c>
      <c r="C23" s="473">
        <f>IF(D11="","-",+C22+1)</f>
        <v>2024</v>
      </c>
      <c r="D23" s="484">
        <f>IF(F22+SUM(E$17:E22)=D$10,F22,D$10-SUM(E$17:E22))</f>
        <v>1006275.1207087487</v>
      </c>
      <c r="E23" s="485">
        <f t="shared" si="6"/>
        <v>27353.023255813954</v>
      </c>
      <c r="F23" s="486">
        <f t="shared" si="7"/>
        <v>978922.09745293471</v>
      </c>
      <c r="G23" s="487">
        <f t="shared" si="8"/>
        <v>141557.78159767133</v>
      </c>
      <c r="H23" s="456">
        <f t="shared" si="9"/>
        <v>141557.78159767133</v>
      </c>
      <c r="I23" s="476">
        <f t="shared" si="3"/>
        <v>0</v>
      </c>
      <c r="J23" s="476"/>
      <c r="K23" s="488"/>
      <c r="L23" s="479">
        <f t="shared" si="0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5"/>
        <v/>
      </c>
      <c r="C24" s="473">
        <f>IF(D11="","-",+C23+1)</f>
        <v>2025</v>
      </c>
      <c r="D24" s="484">
        <f>IF(F23+SUM(E$17:E23)=D$10,F23,D$10-SUM(E$17:E23))</f>
        <v>978922.09745293471</v>
      </c>
      <c r="E24" s="485">
        <f t="shared" si="6"/>
        <v>27353.023255813954</v>
      </c>
      <c r="F24" s="486">
        <f t="shared" si="7"/>
        <v>951569.07419712073</v>
      </c>
      <c r="G24" s="487">
        <f t="shared" si="8"/>
        <v>138410.64298366284</v>
      </c>
      <c r="H24" s="456">
        <f t="shared" si="9"/>
        <v>138410.64298366284</v>
      </c>
      <c r="I24" s="476">
        <f t="shared" si="3"/>
        <v>0</v>
      </c>
      <c r="J24" s="476"/>
      <c r="K24" s="488"/>
      <c r="L24" s="479">
        <f t="shared" si="0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5"/>
        <v/>
      </c>
      <c r="C25" s="473">
        <f>IF(D11="","-",+C24+1)</f>
        <v>2026</v>
      </c>
      <c r="D25" s="484">
        <f>IF(F24+SUM(E$17:E24)=D$10,F24,D$10-SUM(E$17:E24))</f>
        <v>951569.07419712073</v>
      </c>
      <c r="E25" s="485">
        <f t="shared" si="6"/>
        <v>27353.023255813954</v>
      </c>
      <c r="F25" s="486">
        <f t="shared" si="7"/>
        <v>924216.05094130675</v>
      </c>
      <c r="G25" s="487">
        <f t="shared" si="8"/>
        <v>135263.50436965434</v>
      </c>
      <c r="H25" s="456">
        <f t="shared" si="9"/>
        <v>135263.50436965434</v>
      </c>
      <c r="I25" s="476">
        <f t="shared" si="3"/>
        <v>0</v>
      </c>
      <c r="J25" s="476"/>
      <c r="K25" s="488"/>
      <c r="L25" s="479">
        <f t="shared" si="0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5"/>
        <v/>
      </c>
      <c r="C26" s="473">
        <f>IF(D11="","-",+C25+1)</f>
        <v>2027</v>
      </c>
      <c r="D26" s="484">
        <f>IF(F25+SUM(E$17:E25)=D$10,F25,D$10-SUM(E$17:E25))</f>
        <v>924216.05094130675</v>
      </c>
      <c r="E26" s="485">
        <f t="shared" si="6"/>
        <v>27353.023255813954</v>
      </c>
      <c r="F26" s="486">
        <f t="shared" si="7"/>
        <v>896863.02768549277</v>
      </c>
      <c r="G26" s="487">
        <f t="shared" si="8"/>
        <v>132116.36575564585</v>
      </c>
      <c r="H26" s="456">
        <f t="shared" si="9"/>
        <v>132116.36575564585</v>
      </c>
      <c r="I26" s="476">
        <f t="shared" si="3"/>
        <v>0</v>
      </c>
      <c r="J26" s="476"/>
      <c r="K26" s="488"/>
      <c r="L26" s="479">
        <f t="shared" si="0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5"/>
        <v/>
      </c>
      <c r="C27" s="473">
        <f>IF(D11="","-",+C26+1)</f>
        <v>2028</v>
      </c>
      <c r="D27" s="484">
        <f>IF(F26+SUM(E$17:E26)=D$10,F26,D$10-SUM(E$17:E26))</f>
        <v>896863.02768549277</v>
      </c>
      <c r="E27" s="485">
        <f t="shared" si="6"/>
        <v>27353.023255813954</v>
      </c>
      <c r="F27" s="486">
        <f t="shared" si="7"/>
        <v>869510.00442967878</v>
      </c>
      <c r="G27" s="487">
        <f t="shared" si="8"/>
        <v>128969.22714163736</v>
      </c>
      <c r="H27" s="456">
        <f t="shared" si="9"/>
        <v>128969.22714163736</v>
      </c>
      <c r="I27" s="476">
        <f t="shared" si="3"/>
        <v>0</v>
      </c>
      <c r="J27" s="476"/>
      <c r="K27" s="488"/>
      <c r="L27" s="479">
        <f t="shared" si="0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5"/>
        <v/>
      </c>
      <c r="C28" s="473">
        <f>IF(D11="","-",+C27+1)</f>
        <v>2029</v>
      </c>
      <c r="D28" s="484">
        <f>IF(F27+SUM(E$17:E27)=D$10,F27,D$10-SUM(E$17:E27))</f>
        <v>869510.00442967878</v>
      </c>
      <c r="E28" s="485">
        <f t="shared" si="6"/>
        <v>27353.023255813954</v>
      </c>
      <c r="F28" s="486">
        <f t="shared" si="7"/>
        <v>842156.9811738648</v>
      </c>
      <c r="G28" s="487">
        <f t="shared" si="8"/>
        <v>125822.08852762885</v>
      </c>
      <c r="H28" s="456">
        <f t="shared" si="9"/>
        <v>125822.08852762885</v>
      </c>
      <c r="I28" s="476">
        <f t="shared" si="3"/>
        <v>0</v>
      </c>
      <c r="J28" s="476"/>
      <c r="K28" s="488"/>
      <c r="L28" s="479">
        <f t="shared" si="0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5"/>
        <v/>
      </c>
      <c r="C29" s="473">
        <f>IF(D11="","-",+C28+1)</f>
        <v>2030</v>
      </c>
      <c r="D29" s="484">
        <f>IF(F28+SUM(E$17:E28)=D$10,F28,D$10-SUM(E$17:E28))</f>
        <v>842156.9811738648</v>
      </c>
      <c r="E29" s="485">
        <f t="shared" si="6"/>
        <v>27353.023255813954</v>
      </c>
      <c r="F29" s="486">
        <f t="shared" si="7"/>
        <v>814803.95791805082</v>
      </c>
      <c r="G29" s="487">
        <f t="shared" si="8"/>
        <v>122674.94991362037</v>
      </c>
      <c r="H29" s="456">
        <f t="shared" si="9"/>
        <v>122674.94991362037</v>
      </c>
      <c r="I29" s="476">
        <f t="shared" si="3"/>
        <v>0</v>
      </c>
      <c r="J29" s="476"/>
      <c r="K29" s="488"/>
      <c r="L29" s="479">
        <f t="shared" si="0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5"/>
        <v/>
      </c>
      <c r="C30" s="473">
        <f>IF(D11="","-",+C29+1)</f>
        <v>2031</v>
      </c>
      <c r="D30" s="484">
        <f>IF(F29+SUM(E$17:E29)=D$10,F29,D$10-SUM(E$17:E29))</f>
        <v>814803.95791805082</v>
      </c>
      <c r="E30" s="485">
        <f t="shared" si="6"/>
        <v>27353.023255813954</v>
      </c>
      <c r="F30" s="486">
        <f t="shared" si="7"/>
        <v>787450.93466223683</v>
      </c>
      <c r="G30" s="487">
        <f t="shared" si="8"/>
        <v>119527.81129961186</v>
      </c>
      <c r="H30" s="456">
        <f t="shared" si="9"/>
        <v>119527.81129961186</v>
      </c>
      <c r="I30" s="476">
        <f t="shared" si="3"/>
        <v>0</v>
      </c>
      <c r="J30" s="476"/>
      <c r="K30" s="488"/>
      <c r="L30" s="479">
        <f t="shared" si="0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5"/>
        <v/>
      </c>
      <c r="C31" s="473">
        <f>IF(D11="","-",+C30+1)</f>
        <v>2032</v>
      </c>
      <c r="D31" s="484">
        <f>IF(F30+SUM(E$17:E30)=D$10,F30,D$10-SUM(E$17:E30))</f>
        <v>787450.93466223683</v>
      </c>
      <c r="E31" s="485">
        <f t="shared" si="6"/>
        <v>27353.023255813954</v>
      </c>
      <c r="F31" s="486">
        <f t="shared" si="7"/>
        <v>760097.91140642285</v>
      </c>
      <c r="G31" s="487">
        <f t="shared" si="8"/>
        <v>116380.67268560336</v>
      </c>
      <c r="H31" s="456">
        <f t="shared" si="9"/>
        <v>116380.67268560336</v>
      </c>
      <c r="I31" s="476">
        <f t="shared" si="3"/>
        <v>0</v>
      </c>
      <c r="J31" s="476"/>
      <c r="K31" s="488"/>
      <c r="L31" s="479">
        <f t="shared" si="0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5"/>
        <v/>
      </c>
      <c r="C32" s="473">
        <f>IF(D11="","-",+C31+1)</f>
        <v>2033</v>
      </c>
      <c r="D32" s="484">
        <f>IF(F31+SUM(E$17:E31)=D$10,F31,D$10-SUM(E$17:E31))</f>
        <v>760097.91140642285</v>
      </c>
      <c r="E32" s="485">
        <f t="shared" si="6"/>
        <v>27353.023255813954</v>
      </c>
      <c r="F32" s="486">
        <f t="shared" si="7"/>
        <v>732744.88815060887</v>
      </c>
      <c r="G32" s="487">
        <f t="shared" si="8"/>
        <v>113233.53407159486</v>
      </c>
      <c r="H32" s="456">
        <f t="shared" si="9"/>
        <v>113233.53407159486</v>
      </c>
      <c r="I32" s="476">
        <f t="shared" si="3"/>
        <v>0</v>
      </c>
      <c r="J32" s="476"/>
      <c r="K32" s="488"/>
      <c r="L32" s="479">
        <f t="shared" si="0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5"/>
        <v/>
      </c>
      <c r="C33" s="473">
        <f>IF(D11="","-",+C32+1)</f>
        <v>2034</v>
      </c>
      <c r="D33" s="484">
        <f>IF(F32+SUM(E$17:E32)=D$10,F32,D$10-SUM(E$17:E32))</f>
        <v>732744.88815060887</v>
      </c>
      <c r="E33" s="485">
        <f t="shared" si="6"/>
        <v>27353.023255813954</v>
      </c>
      <c r="F33" s="486">
        <f t="shared" si="7"/>
        <v>705391.86489479488</v>
      </c>
      <c r="G33" s="487">
        <f t="shared" si="8"/>
        <v>110086.39545758638</v>
      </c>
      <c r="H33" s="456">
        <f t="shared" si="9"/>
        <v>110086.39545758638</v>
      </c>
      <c r="I33" s="476">
        <f t="shared" si="3"/>
        <v>0</v>
      </c>
      <c r="J33" s="476"/>
      <c r="K33" s="488"/>
      <c r="L33" s="479">
        <f t="shared" si="0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5"/>
        <v/>
      </c>
      <c r="C34" s="473">
        <f>IF(D11="","-",+C33+1)</f>
        <v>2035</v>
      </c>
      <c r="D34" s="484">
        <f>IF(F33+SUM(E$17:E33)=D$10,F33,D$10-SUM(E$17:E33))</f>
        <v>705391.86489479488</v>
      </c>
      <c r="E34" s="485">
        <f t="shared" si="6"/>
        <v>27353.023255813954</v>
      </c>
      <c r="F34" s="486">
        <f t="shared" si="7"/>
        <v>678038.8416389809</v>
      </c>
      <c r="G34" s="487">
        <f t="shared" si="8"/>
        <v>106939.25684357787</v>
      </c>
      <c r="H34" s="456">
        <f t="shared" si="9"/>
        <v>106939.25684357787</v>
      </c>
      <c r="I34" s="476">
        <f t="shared" si="3"/>
        <v>0</v>
      </c>
      <c r="J34" s="476"/>
      <c r="K34" s="488"/>
      <c r="L34" s="479">
        <f t="shared" si="0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5"/>
        <v/>
      </c>
      <c r="C35" s="473">
        <f>IF(D11="","-",+C34+1)</f>
        <v>2036</v>
      </c>
      <c r="D35" s="484">
        <f>IF(F34+SUM(E$17:E34)=D$10,F34,D$10-SUM(E$17:E34))</f>
        <v>678038.8416389809</v>
      </c>
      <c r="E35" s="485">
        <f t="shared" si="6"/>
        <v>27353.023255813954</v>
      </c>
      <c r="F35" s="486">
        <f t="shared" si="7"/>
        <v>650685.81838316692</v>
      </c>
      <c r="G35" s="487">
        <f t="shared" si="8"/>
        <v>103792.11822956939</v>
      </c>
      <c r="H35" s="456">
        <f t="shared" si="9"/>
        <v>103792.11822956939</v>
      </c>
      <c r="I35" s="476">
        <f t="shared" si="3"/>
        <v>0</v>
      </c>
      <c r="J35" s="476"/>
      <c r="K35" s="488"/>
      <c r="L35" s="479">
        <f t="shared" si="0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5"/>
        <v/>
      </c>
      <c r="C36" s="473">
        <f>IF(D11="","-",+C35+1)</f>
        <v>2037</v>
      </c>
      <c r="D36" s="484">
        <f>IF(F35+SUM(E$17:E35)=D$10,F35,D$10-SUM(E$17:E35))</f>
        <v>650685.81838316692</v>
      </c>
      <c r="E36" s="485">
        <f t="shared" si="6"/>
        <v>27353.023255813954</v>
      </c>
      <c r="F36" s="486">
        <f t="shared" si="7"/>
        <v>623332.79512735293</v>
      </c>
      <c r="G36" s="487">
        <f t="shared" si="8"/>
        <v>100644.97961556088</v>
      </c>
      <c r="H36" s="456">
        <f t="shared" si="9"/>
        <v>100644.97961556088</v>
      </c>
      <c r="I36" s="476">
        <f t="shared" si="3"/>
        <v>0</v>
      </c>
      <c r="J36" s="476"/>
      <c r="K36" s="488"/>
      <c r="L36" s="479">
        <f t="shared" si="0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5"/>
        <v/>
      </c>
      <c r="C37" s="473">
        <f>IF(D11="","-",+C36+1)</f>
        <v>2038</v>
      </c>
      <c r="D37" s="484">
        <f>IF(F36+SUM(E$17:E36)=D$10,F36,D$10-SUM(E$17:E36))</f>
        <v>623332.79512735293</v>
      </c>
      <c r="E37" s="485">
        <f t="shared" si="6"/>
        <v>27353.023255813954</v>
      </c>
      <c r="F37" s="486">
        <f t="shared" si="7"/>
        <v>595979.77187153895</v>
      </c>
      <c r="G37" s="487">
        <f t="shared" si="8"/>
        <v>97497.841001552399</v>
      </c>
      <c r="H37" s="456">
        <f t="shared" si="9"/>
        <v>97497.841001552399</v>
      </c>
      <c r="I37" s="476">
        <f t="shared" si="3"/>
        <v>0</v>
      </c>
      <c r="J37" s="476"/>
      <c r="K37" s="488"/>
      <c r="L37" s="479">
        <f t="shared" si="0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5"/>
        <v/>
      </c>
      <c r="C38" s="473">
        <f>IF(D11="","-",+C37+1)</f>
        <v>2039</v>
      </c>
      <c r="D38" s="484">
        <f>IF(F37+SUM(E$17:E37)=D$10,F37,D$10-SUM(E$17:E37))</f>
        <v>595979.77187153895</v>
      </c>
      <c r="E38" s="485">
        <f t="shared" si="6"/>
        <v>27353.023255813954</v>
      </c>
      <c r="F38" s="486">
        <f t="shared" si="7"/>
        <v>568626.74861572497</v>
      </c>
      <c r="G38" s="487">
        <f t="shared" si="8"/>
        <v>94350.70238754389</v>
      </c>
      <c r="H38" s="456">
        <f t="shared" si="9"/>
        <v>94350.70238754389</v>
      </c>
      <c r="I38" s="476">
        <f t="shared" si="3"/>
        <v>0</v>
      </c>
      <c r="J38" s="476"/>
      <c r="K38" s="488"/>
      <c r="L38" s="479">
        <f t="shared" si="0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5"/>
        <v/>
      </c>
      <c r="C39" s="473">
        <f>IF(D11="","-",+C38+1)</f>
        <v>2040</v>
      </c>
      <c r="D39" s="484">
        <f>IF(F38+SUM(E$17:E38)=D$10,F38,D$10-SUM(E$17:E38))</f>
        <v>568626.74861572497</v>
      </c>
      <c r="E39" s="485">
        <f t="shared" si="6"/>
        <v>27353.023255813954</v>
      </c>
      <c r="F39" s="486">
        <f t="shared" si="7"/>
        <v>541273.72535991098</v>
      </c>
      <c r="G39" s="487">
        <f t="shared" si="8"/>
        <v>91203.563773535396</v>
      </c>
      <c r="H39" s="456">
        <f t="shared" si="9"/>
        <v>91203.563773535396</v>
      </c>
      <c r="I39" s="476">
        <f t="shared" si="3"/>
        <v>0</v>
      </c>
      <c r="J39" s="476"/>
      <c r="K39" s="488"/>
      <c r="L39" s="479">
        <f t="shared" si="0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5"/>
        <v/>
      </c>
      <c r="C40" s="473">
        <f>IF(D11="","-",+C39+1)</f>
        <v>2041</v>
      </c>
      <c r="D40" s="484">
        <f>IF(F39+SUM(E$17:E39)=D$10,F39,D$10-SUM(E$17:E39))</f>
        <v>541273.72535991098</v>
      </c>
      <c r="E40" s="485">
        <f t="shared" si="6"/>
        <v>27353.023255813954</v>
      </c>
      <c r="F40" s="486">
        <f t="shared" si="7"/>
        <v>513920.702104097</v>
      </c>
      <c r="G40" s="487">
        <f t="shared" si="8"/>
        <v>88056.425159526902</v>
      </c>
      <c r="H40" s="456">
        <f t="shared" si="9"/>
        <v>88056.425159526902</v>
      </c>
      <c r="I40" s="476">
        <f t="shared" si="3"/>
        <v>0</v>
      </c>
      <c r="J40" s="476"/>
      <c r="K40" s="488"/>
      <c r="L40" s="479">
        <f t="shared" si="0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5"/>
        <v/>
      </c>
      <c r="C41" s="473">
        <f>IF(D11="","-",+C40+1)</f>
        <v>2042</v>
      </c>
      <c r="D41" s="484">
        <f>IF(F40+SUM(E$17:E40)=D$10,F40,D$10-SUM(E$17:E40))</f>
        <v>513920.702104097</v>
      </c>
      <c r="E41" s="485">
        <f t="shared" si="6"/>
        <v>27353.023255813954</v>
      </c>
      <c r="F41" s="486">
        <f t="shared" si="7"/>
        <v>486567.67884828302</v>
      </c>
      <c r="G41" s="487">
        <f t="shared" si="8"/>
        <v>84909.286545518407</v>
      </c>
      <c r="H41" s="456">
        <f t="shared" si="9"/>
        <v>84909.286545518407</v>
      </c>
      <c r="I41" s="476">
        <f t="shared" si="3"/>
        <v>0</v>
      </c>
      <c r="J41" s="476"/>
      <c r="K41" s="488"/>
      <c r="L41" s="479">
        <f t="shared" si="0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5"/>
        <v/>
      </c>
      <c r="C42" s="473">
        <f>IF(D11="","-",+C41+1)</f>
        <v>2043</v>
      </c>
      <c r="D42" s="484">
        <f>IF(F41+SUM(E$17:E41)=D$10,F41,D$10-SUM(E$17:E41))</f>
        <v>486567.67884828302</v>
      </c>
      <c r="E42" s="485">
        <f t="shared" si="6"/>
        <v>27353.023255813954</v>
      </c>
      <c r="F42" s="486">
        <f t="shared" si="7"/>
        <v>459214.65559246903</v>
      </c>
      <c r="G42" s="487">
        <f t="shared" si="8"/>
        <v>81762.147931509913</v>
      </c>
      <c r="H42" s="456">
        <f t="shared" si="9"/>
        <v>81762.147931509913</v>
      </c>
      <c r="I42" s="476">
        <f t="shared" si="3"/>
        <v>0</v>
      </c>
      <c r="J42" s="476"/>
      <c r="K42" s="488"/>
      <c r="L42" s="479">
        <f t="shared" si="0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5"/>
        <v/>
      </c>
      <c r="C43" s="473">
        <f>IF(D11="","-",+C42+1)</f>
        <v>2044</v>
      </c>
      <c r="D43" s="484">
        <f>IF(F42+SUM(E$17:E42)=D$10,F42,D$10-SUM(E$17:E42))</f>
        <v>459214.65559246903</v>
      </c>
      <c r="E43" s="485">
        <f t="shared" si="6"/>
        <v>27353.023255813954</v>
      </c>
      <c r="F43" s="486">
        <f t="shared" si="7"/>
        <v>431861.63233665505</v>
      </c>
      <c r="G43" s="487">
        <f t="shared" si="8"/>
        <v>78615.009317501419</v>
      </c>
      <c r="H43" s="456">
        <f t="shared" si="9"/>
        <v>78615.009317501419</v>
      </c>
      <c r="I43" s="476">
        <f t="shared" si="3"/>
        <v>0</v>
      </c>
      <c r="J43" s="476"/>
      <c r="K43" s="488"/>
      <c r="L43" s="479">
        <f t="shared" si="0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5"/>
        <v/>
      </c>
      <c r="C44" s="473">
        <f>IF(D11="","-",+C43+1)</f>
        <v>2045</v>
      </c>
      <c r="D44" s="484">
        <f>IF(F43+SUM(E$17:E43)=D$10,F43,D$10-SUM(E$17:E43))</f>
        <v>431861.63233665505</v>
      </c>
      <c r="E44" s="485">
        <f t="shared" si="6"/>
        <v>27353.023255813954</v>
      </c>
      <c r="F44" s="486">
        <f t="shared" si="7"/>
        <v>404508.60908084107</v>
      </c>
      <c r="G44" s="487">
        <f t="shared" si="8"/>
        <v>75467.870703492925</v>
      </c>
      <c r="H44" s="456">
        <f t="shared" si="9"/>
        <v>75467.870703492925</v>
      </c>
      <c r="I44" s="476">
        <f t="shared" si="3"/>
        <v>0</v>
      </c>
      <c r="J44" s="476"/>
      <c r="K44" s="488"/>
      <c r="L44" s="479">
        <f t="shared" si="0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5"/>
        <v/>
      </c>
      <c r="C45" s="473">
        <f>IF(D11="","-",+C44+1)</f>
        <v>2046</v>
      </c>
      <c r="D45" s="484">
        <f>IF(F44+SUM(E$17:E44)=D$10,F44,D$10-SUM(E$17:E44))</f>
        <v>404508.60908084107</v>
      </c>
      <c r="E45" s="485">
        <f t="shared" si="6"/>
        <v>27353.023255813954</v>
      </c>
      <c r="F45" s="486">
        <f t="shared" si="7"/>
        <v>377155.58582502708</v>
      </c>
      <c r="G45" s="487">
        <f t="shared" si="8"/>
        <v>72320.732089484431</v>
      </c>
      <c r="H45" s="456">
        <f t="shared" si="9"/>
        <v>72320.732089484431</v>
      </c>
      <c r="I45" s="476">
        <f t="shared" si="3"/>
        <v>0</v>
      </c>
      <c r="J45" s="476"/>
      <c r="K45" s="488"/>
      <c r="L45" s="479">
        <f t="shared" si="0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5"/>
        <v/>
      </c>
      <c r="C46" s="473">
        <f>IF(D11="","-",+C45+1)</f>
        <v>2047</v>
      </c>
      <c r="D46" s="484">
        <f>IF(F45+SUM(E$17:E45)=D$10,F45,D$10-SUM(E$17:E45))</f>
        <v>377155.58582502708</v>
      </c>
      <c r="E46" s="485">
        <f t="shared" si="6"/>
        <v>27353.023255813954</v>
      </c>
      <c r="F46" s="486">
        <f t="shared" si="7"/>
        <v>349802.5625692131</v>
      </c>
      <c r="G46" s="487">
        <f t="shared" si="8"/>
        <v>69173.593475475936</v>
      </c>
      <c r="H46" s="456">
        <f t="shared" si="9"/>
        <v>69173.593475475936</v>
      </c>
      <c r="I46" s="476">
        <f t="shared" si="3"/>
        <v>0</v>
      </c>
      <c r="J46" s="476"/>
      <c r="K46" s="488"/>
      <c r="L46" s="479">
        <f t="shared" si="0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5"/>
        <v/>
      </c>
      <c r="C47" s="473">
        <f>IF(D11="","-",+C46+1)</f>
        <v>2048</v>
      </c>
      <c r="D47" s="484">
        <f>IF(F46+SUM(E$17:E46)=D$10,F46,D$10-SUM(E$17:E46))</f>
        <v>349802.5625692131</v>
      </c>
      <c r="E47" s="485">
        <f t="shared" si="6"/>
        <v>27353.023255813954</v>
      </c>
      <c r="F47" s="486">
        <f t="shared" si="7"/>
        <v>322449.53931339912</v>
      </c>
      <c r="G47" s="487">
        <f t="shared" si="8"/>
        <v>66026.454861467442</v>
      </c>
      <c r="H47" s="456">
        <f t="shared" si="9"/>
        <v>66026.454861467442</v>
      </c>
      <c r="I47" s="476">
        <f t="shared" si="3"/>
        <v>0</v>
      </c>
      <c r="J47" s="476"/>
      <c r="K47" s="488"/>
      <c r="L47" s="479">
        <f t="shared" si="0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5"/>
        <v/>
      </c>
      <c r="C48" s="473">
        <f>IF(D11="","-",+C47+1)</f>
        <v>2049</v>
      </c>
      <c r="D48" s="484">
        <f>IF(F47+SUM(E$17:E47)=D$10,F47,D$10-SUM(E$17:E47))</f>
        <v>322449.53931339912</v>
      </c>
      <c r="E48" s="485">
        <f t="shared" si="6"/>
        <v>27353.023255813954</v>
      </c>
      <c r="F48" s="486">
        <f t="shared" si="7"/>
        <v>295096.51605758513</v>
      </c>
      <c r="G48" s="487">
        <f t="shared" si="8"/>
        <v>62879.316247458934</v>
      </c>
      <c r="H48" s="456">
        <f t="shared" si="9"/>
        <v>62879.316247458934</v>
      </c>
      <c r="I48" s="476">
        <f t="shared" si="3"/>
        <v>0</v>
      </c>
      <c r="J48" s="476"/>
      <c r="K48" s="488"/>
      <c r="L48" s="479">
        <f t="shared" si="0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5"/>
        <v/>
      </c>
      <c r="C49" s="473">
        <f>IF(D11="","-",+C48+1)</f>
        <v>2050</v>
      </c>
      <c r="D49" s="484">
        <f>IF(F48+SUM(E$17:E48)=D$10,F48,D$10-SUM(E$17:E48))</f>
        <v>295096.51605758513</v>
      </c>
      <c r="E49" s="485">
        <f t="shared" si="6"/>
        <v>27353.023255813954</v>
      </c>
      <c r="F49" s="486">
        <f t="shared" si="7"/>
        <v>267743.49280177115</v>
      </c>
      <c r="G49" s="487">
        <f t="shared" si="8"/>
        <v>59732.177633450439</v>
      </c>
      <c r="H49" s="456">
        <f t="shared" si="9"/>
        <v>59732.177633450439</v>
      </c>
      <c r="I49" s="476">
        <f t="shared" si="3"/>
        <v>0</v>
      </c>
      <c r="J49" s="476"/>
      <c r="K49" s="488"/>
      <c r="L49" s="479">
        <f t="shared" si="0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5"/>
        <v/>
      </c>
      <c r="C50" s="473">
        <f>IF(D11="","-",+C49+1)</f>
        <v>2051</v>
      </c>
      <c r="D50" s="484">
        <f>IF(F49+SUM(E$17:E49)=D$10,F49,D$10-SUM(E$17:E49))</f>
        <v>267743.49280177115</v>
      </c>
      <c r="E50" s="485">
        <f t="shared" si="6"/>
        <v>27353.023255813954</v>
      </c>
      <c r="F50" s="486">
        <f t="shared" si="7"/>
        <v>240390.4695459572</v>
      </c>
      <c r="G50" s="487">
        <f t="shared" si="8"/>
        <v>56585.039019441945</v>
      </c>
      <c r="H50" s="456">
        <f t="shared" si="9"/>
        <v>56585.039019441945</v>
      </c>
      <c r="I50" s="476">
        <f t="shared" si="3"/>
        <v>0</v>
      </c>
      <c r="J50" s="476"/>
      <c r="K50" s="488"/>
      <c r="L50" s="479">
        <f t="shared" si="0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5"/>
        <v/>
      </c>
      <c r="C51" s="473">
        <f>IF(D11="","-",+C50+1)</f>
        <v>2052</v>
      </c>
      <c r="D51" s="484">
        <f>IF(F50+SUM(E$17:E50)=D$10,F50,D$10-SUM(E$17:E50))</f>
        <v>240390.4695459572</v>
      </c>
      <c r="E51" s="485">
        <f t="shared" si="6"/>
        <v>27353.023255813954</v>
      </c>
      <c r="F51" s="486">
        <f t="shared" si="7"/>
        <v>213037.44629014324</v>
      </c>
      <c r="G51" s="487">
        <f t="shared" si="8"/>
        <v>53437.900405433458</v>
      </c>
      <c r="H51" s="456">
        <f t="shared" si="9"/>
        <v>53437.900405433458</v>
      </c>
      <c r="I51" s="476">
        <f t="shared" si="3"/>
        <v>0</v>
      </c>
      <c r="J51" s="476"/>
      <c r="K51" s="488"/>
      <c r="L51" s="479">
        <f t="shared" si="0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5"/>
        <v/>
      </c>
      <c r="C52" s="473">
        <f>IF(D11="","-",+C51+1)</f>
        <v>2053</v>
      </c>
      <c r="D52" s="484">
        <f>IF(F51+SUM(E$17:E51)=D$10,F51,D$10-SUM(E$17:E51))</f>
        <v>213037.44629014324</v>
      </c>
      <c r="E52" s="485">
        <f t="shared" si="6"/>
        <v>27353.023255813954</v>
      </c>
      <c r="F52" s="486">
        <f t="shared" si="7"/>
        <v>185684.42303432929</v>
      </c>
      <c r="G52" s="487">
        <f t="shared" si="8"/>
        <v>50290.761791424957</v>
      </c>
      <c r="H52" s="456">
        <f t="shared" si="9"/>
        <v>50290.761791424957</v>
      </c>
      <c r="I52" s="476">
        <f t="shared" si="3"/>
        <v>0</v>
      </c>
      <c r="J52" s="476"/>
      <c r="K52" s="488"/>
      <c r="L52" s="479">
        <f t="shared" si="0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5"/>
        <v/>
      </c>
      <c r="C53" s="473">
        <f>IF(D11="","-",+C52+1)</f>
        <v>2054</v>
      </c>
      <c r="D53" s="484">
        <f>IF(F52+SUM(E$17:E52)=D$10,F52,D$10-SUM(E$17:E52))</f>
        <v>185684.42303432929</v>
      </c>
      <c r="E53" s="485">
        <f t="shared" si="6"/>
        <v>27353.023255813954</v>
      </c>
      <c r="F53" s="486">
        <f t="shared" si="7"/>
        <v>158331.39977851533</v>
      </c>
      <c r="G53" s="487">
        <f t="shared" si="8"/>
        <v>47143.623177416477</v>
      </c>
      <c r="H53" s="456">
        <f t="shared" si="9"/>
        <v>47143.623177416477</v>
      </c>
      <c r="I53" s="476">
        <f t="shared" si="3"/>
        <v>0</v>
      </c>
      <c r="J53" s="476"/>
      <c r="K53" s="488"/>
      <c r="L53" s="479">
        <f t="shared" si="0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5"/>
        <v/>
      </c>
      <c r="C54" s="473">
        <f>IF(D11="","-",+C53+1)</f>
        <v>2055</v>
      </c>
      <c r="D54" s="484">
        <f>IF(F53+SUM(E$17:E53)=D$10,F53,D$10-SUM(E$17:E53))</f>
        <v>158331.39977851533</v>
      </c>
      <c r="E54" s="485">
        <f t="shared" si="6"/>
        <v>27353.023255813954</v>
      </c>
      <c r="F54" s="486">
        <f t="shared" si="7"/>
        <v>130978.37652270138</v>
      </c>
      <c r="G54" s="487">
        <f t="shared" si="8"/>
        <v>43996.484563407976</v>
      </c>
      <c r="H54" s="456">
        <f t="shared" si="9"/>
        <v>43996.484563407976</v>
      </c>
      <c r="I54" s="476">
        <f t="shared" si="3"/>
        <v>0</v>
      </c>
      <c r="J54" s="476"/>
      <c r="K54" s="488"/>
      <c r="L54" s="479">
        <f t="shared" si="0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5"/>
        <v/>
      </c>
      <c r="C55" s="473">
        <f>IF(D11="","-",+C54+1)</f>
        <v>2056</v>
      </c>
      <c r="D55" s="484">
        <f>IF(F54+SUM(E$17:E54)=D$10,F54,D$10-SUM(E$17:E54))</f>
        <v>130978.37652270138</v>
      </c>
      <c r="E55" s="485">
        <f t="shared" si="6"/>
        <v>27353.023255813954</v>
      </c>
      <c r="F55" s="486">
        <f t="shared" si="7"/>
        <v>103625.35326688742</v>
      </c>
      <c r="G55" s="487">
        <f t="shared" si="8"/>
        <v>40849.345949399489</v>
      </c>
      <c r="H55" s="456">
        <f t="shared" si="9"/>
        <v>40849.345949399489</v>
      </c>
      <c r="I55" s="476">
        <f t="shared" si="3"/>
        <v>0</v>
      </c>
      <c r="J55" s="476"/>
      <c r="K55" s="488"/>
      <c r="L55" s="479">
        <f t="shared" si="0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5"/>
        <v/>
      </c>
      <c r="C56" s="473">
        <f>IF(D11="","-",+C55+1)</f>
        <v>2057</v>
      </c>
      <c r="D56" s="484">
        <f>IF(F55+SUM(E$17:E55)=D$10,F55,D$10-SUM(E$17:E55))</f>
        <v>103625.35326688742</v>
      </c>
      <c r="E56" s="485">
        <f t="shared" si="6"/>
        <v>27353.023255813954</v>
      </c>
      <c r="F56" s="486">
        <f t="shared" si="7"/>
        <v>76272.330011073471</v>
      </c>
      <c r="G56" s="487">
        <f t="shared" si="8"/>
        <v>37702.207335390995</v>
      </c>
      <c r="H56" s="456">
        <f t="shared" si="9"/>
        <v>37702.207335390995</v>
      </c>
      <c r="I56" s="476">
        <f t="shared" si="3"/>
        <v>0</v>
      </c>
      <c r="J56" s="476"/>
      <c r="K56" s="488"/>
      <c r="L56" s="479">
        <f t="shared" si="0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5"/>
        <v/>
      </c>
      <c r="C57" s="473">
        <f>IF(D11="","-",+C56+1)</f>
        <v>2058</v>
      </c>
      <c r="D57" s="484">
        <f>IF(F56+SUM(E$17:E56)=D$10,F56,D$10-SUM(E$17:E56))</f>
        <v>76272.330011073471</v>
      </c>
      <c r="E57" s="485">
        <f t="shared" si="6"/>
        <v>27353.023255813954</v>
      </c>
      <c r="F57" s="486">
        <f t="shared" si="7"/>
        <v>48919.306755259517</v>
      </c>
      <c r="G57" s="487">
        <f t="shared" si="8"/>
        <v>34555.0687213825</v>
      </c>
      <c r="H57" s="456">
        <f t="shared" si="9"/>
        <v>34555.0687213825</v>
      </c>
      <c r="I57" s="476">
        <f t="shared" si="3"/>
        <v>0</v>
      </c>
      <c r="J57" s="476"/>
      <c r="K57" s="488"/>
      <c r="L57" s="479">
        <f t="shared" si="0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5"/>
        <v/>
      </c>
      <c r="C58" s="473">
        <f>IF(D11="","-",+C57+1)</f>
        <v>2059</v>
      </c>
      <c r="D58" s="484">
        <f>IF(F57+SUM(E$17:E57)=D$10,F57,D$10-SUM(E$17:E57))</f>
        <v>48919.306755259517</v>
      </c>
      <c r="E58" s="485">
        <f t="shared" si="6"/>
        <v>27353.023255813954</v>
      </c>
      <c r="F58" s="486">
        <f t="shared" si="7"/>
        <v>21566.283499445562</v>
      </c>
      <c r="G58" s="487">
        <f t="shared" si="8"/>
        <v>31407.93010737401</v>
      </c>
      <c r="H58" s="456">
        <f t="shared" si="9"/>
        <v>31407.93010737401</v>
      </c>
      <c r="I58" s="476">
        <f t="shared" si="3"/>
        <v>0</v>
      </c>
      <c r="J58" s="476"/>
      <c r="K58" s="488"/>
      <c r="L58" s="479">
        <f t="shared" si="0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5"/>
        <v/>
      </c>
      <c r="C59" s="473">
        <f>IF(D11="","-",+C58+1)</f>
        <v>2060</v>
      </c>
      <c r="D59" s="484">
        <f>IF(F58+SUM(E$17:E58)=D$10,F58,D$10-SUM(E$17:E58))</f>
        <v>21566.283499445562</v>
      </c>
      <c r="E59" s="485">
        <f t="shared" si="6"/>
        <v>21566.283499445562</v>
      </c>
      <c r="F59" s="486">
        <f t="shared" si="7"/>
        <v>0</v>
      </c>
      <c r="G59" s="487">
        <f t="shared" si="8"/>
        <v>22806.952271723465</v>
      </c>
      <c r="H59" s="456">
        <f t="shared" si="9"/>
        <v>22806.952271723465</v>
      </c>
      <c r="I59" s="476">
        <f t="shared" si="3"/>
        <v>0</v>
      </c>
      <c r="J59" s="476"/>
      <c r="K59" s="488"/>
      <c r="L59" s="479">
        <f t="shared" si="0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5"/>
        <v/>
      </c>
      <c r="C60" s="473">
        <f>IF(D11="","-",+C59+1)</f>
        <v>2061</v>
      </c>
      <c r="D60" s="484">
        <f>IF(F59+SUM(E$17:E59)=D$10,F59,D$10-SUM(E$17:E59))</f>
        <v>0</v>
      </c>
      <c r="E60" s="485">
        <f t="shared" si="6"/>
        <v>0</v>
      </c>
      <c r="F60" s="486">
        <f t="shared" si="7"/>
        <v>0</v>
      </c>
      <c r="G60" s="487">
        <f t="shared" si="8"/>
        <v>0</v>
      </c>
      <c r="H60" s="456">
        <f t="shared" si="9"/>
        <v>0</v>
      </c>
      <c r="I60" s="476">
        <f t="shared" si="3"/>
        <v>0</v>
      </c>
      <c r="J60" s="476"/>
      <c r="K60" s="488"/>
      <c r="L60" s="479">
        <f t="shared" si="0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5"/>
        <v/>
      </c>
      <c r="C61" s="473">
        <f>IF(D11="","-",+C60+1)</f>
        <v>2062</v>
      </c>
      <c r="D61" s="484">
        <f>IF(F60+SUM(E$17:E60)=D$10,F60,D$10-SUM(E$17:E60))</f>
        <v>0</v>
      </c>
      <c r="E61" s="485">
        <f t="shared" si="6"/>
        <v>0</v>
      </c>
      <c r="F61" s="486">
        <f t="shared" si="7"/>
        <v>0</v>
      </c>
      <c r="G61" s="487">
        <f t="shared" si="8"/>
        <v>0</v>
      </c>
      <c r="H61" s="456">
        <f t="shared" si="9"/>
        <v>0</v>
      </c>
      <c r="I61" s="476">
        <f t="shared" si="3"/>
        <v>0</v>
      </c>
      <c r="J61" s="476"/>
      <c r="K61" s="488"/>
      <c r="L61" s="479">
        <f t="shared" si="0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5"/>
        <v/>
      </c>
      <c r="C62" s="473">
        <f>IF(D11="","-",+C61+1)</f>
        <v>2063</v>
      </c>
      <c r="D62" s="484">
        <f>IF(F61+SUM(E$17:E61)=D$10,F61,D$10-SUM(E$17:E61))</f>
        <v>0</v>
      </c>
      <c r="E62" s="485">
        <f t="shared" si="6"/>
        <v>0</v>
      </c>
      <c r="F62" s="486">
        <f t="shared" si="7"/>
        <v>0</v>
      </c>
      <c r="G62" s="487">
        <f t="shared" si="8"/>
        <v>0</v>
      </c>
      <c r="H62" s="456">
        <f t="shared" si="9"/>
        <v>0</v>
      </c>
      <c r="I62" s="476">
        <f t="shared" si="3"/>
        <v>0</v>
      </c>
      <c r="J62" s="476"/>
      <c r="K62" s="488"/>
      <c r="L62" s="479">
        <f t="shared" si="0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5"/>
        <v/>
      </c>
      <c r="C63" s="473">
        <f>IF(D11="","-",+C62+1)</f>
        <v>2064</v>
      </c>
      <c r="D63" s="484">
        <f>IF(F62+SUM(E$17:E62)=D$10,F62,D$10-SUM(E$17:E62))</f>
        <v>0</v>
      </c>
      <c r="E63" s="485">
        <f t="shared" si="6"/>
        <v>0</v>
      </c>
      <c r="F63" s="486">
        <f t="shared" si="7"/>
        <v>0</v>
      </c>
      <c r="G63" s="487">
        <f t="shared" si="8"/>
        <v>0</v>
      </c>
      <c r="H63" s="456">
        <f t="shared" si="9"/>
        <v>0</v>
      </c>
      <c r="I63" s="476">
        <f t="shared" si="3"/>
        <v>0</v>
      </c>
      <c r="J63" s="476"/>
      <c r="K63" s="488"/>
      <c r="L63" s="479">
        <f t="shared" si="0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5"/>
        <v/>
      </c>
      <c r="C64" s="473">
        <f>IF(D11="","-",+C63+1)</f>
        <v>2065</v>
      </c>
      <c r="D64" s="484">
        <f>IF(F63+SUM(E$17:E63)=D$10,F63,D$10-SUM(E$17:E63))</f>
        <v>0</v>
      </c>
      <c r="E64" s="485">
        <f t="shared" si="6"/>
        <v>0</v>
      </c>
      <c r="F64" s="486">
        <f t="shared" si="7"/>
        <v>0</v>
      </c>
      <c r="G64" s="487">
        <f t="shared" si="8"/>
        <v>0</v>
      </c>
      <c r="H64" s="456">
        <f t="shared" si="9"/>
        <v>0</v>
      </c>
      <c r="I64" s="476">
        <f t="shared" si="3"/>
        <v>0</v>
      </c>
      <c r="J64" s="476"/>
      <c r="K64" s="488"/>
      <c r="L64" s="479">
        <f t="shared" si="0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5"/>
        <v/>
      </c>
      <c r="C65" s="473">
        <f>IF(D11="","-",+C64+1)</f>
        <v>2066</v>
      </c>
      <c r="D65" s="484">
        <f>IF(F64+SUM(E$17:E64)=D$10,F64,D$10-SUM(E$17:E64))</f>
        <v>0</v>
      </c>
      <c r="E65" s="485">
        <f t="shared" si="6"/>
        <v>0</v>
      </c>
      <c r="F65" s="486">
        <f t="shared" si="7"/>
        <v>0</v>
      </c>
      <c r="G65" s="487">
        <f t="shared" si="8"/>
        <v>0</v>
      </c>
      <c r="H65" s="456">
        <f t="shared" si="9"/>
        <v>0</v>
      </c>
      <c r="I65" s="476">
        <f t="shared" si="3"/>
        <v>0</v>
      </c>
      <c r="J65" s="476"/>
      <c r="K65" s="488"/>
      <c r="L65" s="479">
        <f t="shared" si="0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5"/>
        <v/>
      </c>
      <c r="C66" s="473">
        <f>IF(D11="","-",+C65+1)</f>
        <v>2067</v>
      </c>
      <c r="D66" s="484">
        <f>IF(F65+SUM(E$17:E65)=D$10,F65,D$10-SUM(E$17:E65))</f>
        <v>0</v>
      </c>
      <c r="E66" s="485">
        <f t="shared" si="6"/>
        <v>0</v>
      </c>
      <c r="F66" s="486">
        <f t="shared" si="7"/>
        <v>0</v>
      </c>
      <c r="G66" s="487">
        <f t="shared" si="8"/>
        <v>0</v>
      </c>
      <c r="H66" s="456">
        <f t="shared" si="9"/>
        <v>0</v>
      </c>
      <c r="I66" s="476">
        <f t="shared" si="3"/>
        <v>0</v>
      </c>
      <c r="J66" s="476"/>
      <c r="K66" s="488"/>
      <c r="L66" s="479">
        <f t="shared" si="0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5"/>
        <v/>
      </c>
      <c r="C67" s="473">
        <f>IF(D11="","-",+C66+1)</f>
        <v>2068</v>
      </c>
      <c r="D67" s="484">
        <f>IF(F66+SUM(E$17:E66)=D$10,F66,D$10-SUM(E$17:E66))</f>
        <v>0</v>
      </c>
      <c r="E67" s="485">
        <f t="shared" si="6"/>
        <v>0</v>
      </c>
      <c r="F67" s="486">
        <f t="shared" si="7"/>
        <v>0</v>
      </c>
      <c r="G67" s="487">
        <f t="shared" si="8"/>
        <v>0</v>
      </c>
      <c r="H67" s="456">
        <f t="shared" si="9"/>
        <v>0</v>
      </c>
      <c r="I67" s="476">
        <f t="shared" si="3"/>
        <v>0</v>
      </c>
      <c r="J67" s="476"/>
      <c r="K67" s="488"/>
      <c r="L67" s="479">
        <f t="shared" si="0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5"/>
        <v/>
      </c>
      <c r="C68" s="473">
        <f>IF(D11="","-",+C67+1)</f>
        <v>2069</v>
      </c>
      <c r="D68" s="484">
        <f>IF(F67+SUM(E$17:E67)=D$10,F67,D$10-SUM(E$17:E67))</f>
        <v>0</v>
      </c>
      <c r="E68" s="485">
        <f t="shared" si="6"/>
        <v>0</v>
      </c>
      <c r="F68" s="486">
        <f t="shared" si="7"/>
        <v>0</v>
      </c>
      <c r="G68" s="487">
        <f t="shared" si="8"/>
        <v>0</v>
      </c>
      <c r="H68" s="456">
        <f t="shared" si="9"/>
        <v>0</v>
      </c>
      <c r="I68" s="476">
        <f t="shared" si="3"/>
        <v>0</v>
      </c>
      <c r="J68" s="476"/>
      <c r="K68" s="488"/>
      <c r="L68" s="479">
        <f t="shared" si="0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5"/>
        <v/>
      </c>
      <c r="C69" s="473">
        <f>IF(D11="","-",+C68+1)</f>
        <v>2070</v>
      </c>
      <c r="D69" s="484">
        <f>IF(F68+SUM(E$17:E68)=D$10,F68,D$10-SUM(E$17:E68))</f>
        <v>0</v>
      </c>
      <c r="E69" s="485">
        <f t="shared" si="6"/>
        <v>0</v>
      </c>
      <c r="F69" s="486">
        <f t="shared" si="7"/>
        <v>0</v>
      </c>
      <c r="G69" s="487">
        <f t="shared" si="8"/>
        <v>0</v>
      </c>
      <c r="H69" s="456">
        <f t="shared" si="9"/>
        <v>0</v>
      </c>
      <c r="I69" s="476">
        <f t="shared" si="3"/>
        <v>0</v>
      </c>
      <c r="J69" s="476"/>
      <c r="K69" s="488"/>
      <c r="L69" s="479">
        <f t="shared" si="0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5"/>
        <v/>
      </c>
      <c r="C70" s="473">
        <f>IF(D11="","-",+C69+1)</f>
        <v>2071</v>
      </c>
      <c r="D70" s="484">
        <f>IF(F69+SUM(E$17:E69)=D$10,F69,D$10-SUM(E$17:E69))</f>
        <v>0</v>
      </c>
      <c r="E70" s="485">
        <f t="shared" si="6"/>
        <v>0</v>
      </c>
      <c r="F70" s="486">
        <f t="shared" si="7"/>
        <v>0</v>
      </c>
      <c r="G70" s="487">
        <f t="shared" si="8"/>
        <v>0</v>
      </c>
      <c r="H70" s="456">
        <f t="shared" si="9"/>
        <v>0</v>
      </c>
      <c r="I70" s="476">
        <f t="shared" si="3"/>
        <v>0</v>
      </c>
      <c r="J70" s="476"/>
      <c r="K70" s="488"/>
      <c r="L70" s="479">
        <f t="shared" si="0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5"/>
        <v/>
      </c>
      <c r="C71" s="473">
        <f>IF(D11="","-",+C70+1)</f>
        <v>2072</v>
      </c>
      <c r="D71" s="484">
        <f>IF(F70+SUM(E$17:E70)=D$10,F70,D$10-SUM(E$17:E70))</f>
        <v>0</v>
      </c>
      <c r="E71" s="485">
        <f t="shared" si="6"/>
        <v>0</v>
      </c>
      <c r="F71" s="486">
        <f t="shared" si="7"/>
        <v>0</v>
      </c>
      <c r="G71" s="487">
        <f t="shared" si="8"/>
        <v>0</v>
      </c>
      <c r="H71" s="456">
        <f t="shared" si="9"/>
        <v>0</v>
      </c>
      <c r="I71" s="476">
        <f t="shared" si="3"/>
        <v>0</v>
      </c>
      <c r="J71" s="476"/>
      <c r="K71" s="488"/>
      <c r="L71" s="479">
        <f t="shared" si="0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2073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0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1176179.9999999998</v>
      </c>
      <c r="F73" s="348"/>
      <c r="G73" s="348">
        <f>SUM(G17:G72)</f>
        <v>4143543.5230071773</v>
      </c>
      <c r="H73" s="348">
        <f>SUM(H17:H72)</f>
        <v>4143543.5230071773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23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150275.44361099388</v>
      </c>
      <c r="N87" s="509">
        <f>IF(J92&lt;D11,0,VLOOKUP(J92,C17:O72,11))</f>
        <v>150275.44361099388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154242.74183680658</v>
      </c>
      <c r="N88" s="513">
        <f>IF(J92&lt;D11,0,VLOOKUP(J92,C99:P154,7))</f>
        <v>154242.74183680658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Elk City 138KV Move Load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3967.2982258127013</v>
      </c>
      <c r="N89" s="518">
        <f>+N88-N87</f>
        <v>3967.2982258127013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TP2011110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1165593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5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27107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20674.5</v>
      </c>
      <c r="F99" s="585">
        <v>1757325.5</v>
      </c>
      <c r="G99" s="609">
        <v>878662.75</v>
      </c>
      <c r="H99" s="588">
        <v>110944.41567094853</v>
      </c>
      <c r="I99" s="608">
        <v>110944.41567094853</v>
      </c>
      <c r="J99" s="479">
        <f>+I99-H99</f>
        <v>0</v>
      </c>
      <c r="K99" s="479"/>
      <c r="L99" s="478">
        <f>+H99</f>
        <v>110944.41567094853</v>
      </c>
      <c r="M99" s="478">
        <f t="shared" ref="M99" si="10">IF(L99&lt;&gt;0,+H99-L99,0)</f>
        <v>0</v>
      </c>
      <c r="N99" s="478">
        <f>+I99</f>
        <v>110944.41567094853</v>
      </c>
      <c r="O99" s="478">
        <f t="shared" ref="O99" si="11">IF(N99&lt;&gt;0,+I99-N99,0)</f>
        <v>0</v>
      </c>
      <c r="P99" s="478">
        <f t="shared" ref="P99" si="12">+O99-M99</f>
        <v>0</v>
      </c>
    </row>
    <row r="100" spans="1:16" ht="12.5">
      <c r="B100" s="160" t="str">
        <f>IF(D100=F99,"","IU")</f>
        <v>IU</v>
      </c>
      <c r="C100" s="473">
        <f>IF(D93="","-",+C99+1)</f>
        <v>2019</v>
      </c>
      <c r="D100" s="585">
        <v>1155505.5</v>
      </c>
      <c r="E100" s="586">
        <v>28687</v>
      </c>
      <c r="F100" s="587">
        <v>1126818.5</v>
      </c>
      <c r="G100" s="587">
        <v>1141162</v>
      </c>
      <c r="H100" s="607">
        <v>146356.80823022424</v>
      </c>
      <c r="I100" s="608">
        <v>146356.80823022424</v>
      </c>
      <c r="J100" s="479">
        <f t="shared" ref="J100:J130" si="13">+I100-H100</f>
        <v>0</v>
      </c>
      <c r="K100" s="479"/>
      <c r="L100" s="477">
        <f>H100</f>
        <v>146356.80823022424</v>
      </c>
      <c r="M100" s="349">
        <f>IF(L100&lt;&gt;0,+H100-L100,0)</f>
        <v>0</v>
      </c>
      <c r="N100" s="477">
        <f>I100</f>
        <v>146356.80823022424</v>
      </c>
      <c r="O100" s="479">
        <f t="shared" ref="O100:O130" si="14">IF(N100&lt;&gt;0,+I100-N100,0)</f>
        <v>0</v>
      </c>
      <c r="P100" s="479">
        <f t="shared" ref="P100:P130" si="15">+O100-M100</f>
        <v>0</v>
      </c>
    </row>
    <row r="101" spans="1:16" ht="12.5">
      <c r="B101" s="160" t="str">
        <f t="shared" ref="B101:B154" si="16">IF(D101=F100,"","IU")</f>
        <v>IU</v>
      </c>
      <c r="C101" s="473">
        <f>IF(D93="","-",+C100+1)</f>
        <v>2020</v>
      </c>
      <c r="D101" s="347">
        <f>IF(F100+SUM(E$99:E100)=D$92,F100,D$92-SUM(E$99:E100))</f>
        <v>1116231.5</v>
      </c>
      <c r="E101" s="485">
        <f t="shared" ref="E101:E154" si="17">IF(+J$96&lt;F100,J$96,D101)</f>
        <v>27107</v>
      </c>
      <c r="F101" s="486">
        <f t="shared" ref="F101:F154" si="18">+D101-E101</f>
        <v>1089124.5</v>
      </c>
      <c r="G101" s="486">
        <f t="shared" ref="G101:G154" si="19">+(F101+D101)/2</f>
        <v>1102678</v>
      </c>
      <c r="H101" s="487">
        <f>(D101+F101)/2*J$94+E101</f>
        <v>154242.74183680658</v>
      </c>
      <c r="I101" s="543">
        <f t="shared" ref="I101:I154" si="20">+J$95*G101+E101</f>
        <v>154242.74183680658</v>
      </c>
      <c r="J101" s="479">
        <f t="shared" si="13"/>
        <v>0</v>
      </c>
      <c r="K101" s="479"/>
      <c r="L101" s="488"/>
      <c r="M101" s="479">
        <f t="shared" ref="M101:M130" si="21">IF(L101&lt;&gt;0,+H101-L101,0)</f>
        <v>0</v>
      </c>
      <c r="N101" s="488"/>
      <c r="O101" s="479">
        <f t="shared" si="14"/>
        <v>0</v>
      </c>
      <c r="P101" s="479">
        <f t="shared" si="15"/>
        <v>0</v>
      </c>
    </row>
    <row r="102" spans="1:16" ht="12.5">
      <c r="B102" s="160" t="str">
        <f t="shared" si="16"/>
        <v/>
      </c>
      <c r="C102" s="473">
        <f>IF(D93="","-",+C101+1)</f>
        <v>2021</v>
      </c>
      <c r="D102" s="347">
        <f>IF(F101+SUM(E$99:E101)=D$92,F101,D$92-SUM(E$99:E101))</f>
        <v>1089124.5</v>
      </c>
      <c r="E102" s="485">
        <f t="shared" si="17"/>
        <v>27107</v>
      </c>
      <c r="F102" s="486">
        <f t="shared" si="18"/>
        <v>1062017.5</v>
      </c>
      <c r="G102" s="486">
        <f t="shared" si="19"/>
        <v>1075571</v>
      </c>
      <c r="H102" s="487">
        <f t="shared" ref="H102:H153" si="22">(D102+F102)/2*J$94+E102</f>
        <v>151117.37926135818</v>
      </c>
      <c r="I102" s="543">
        <f t="shared" ref="I102:I153" si="23">+J$95*G102+E102</f>
        <v>151117.37926135818</v>
      </c>
      <c r="J102" s="479">
        <f t="shared" si="13"/>
        <v>0</v>
      </c>
      <c r="K102" s="479"/>
      <c r="L102" s="488"/>
      <c r="M102" s="479">
        <f t="shared" si="21"/>
        <v>0</v>
      </c>
      <c r="N102" s="488"/>
      <c r="O102" s="479">
        <f t="shared" si="14"/>
        <v>0</v>
      </c>
      <c r="P102" s="479">
        <f t="shared" si="15"/>
        <v>0</v>
      </c>
    </row>
    <row r="103" spans="1:16" ht="12.5">
      <c r="B103" s="160" t="str">
        <f t="shared" si="16"/>
        <v/>
      </c>
      <c r="C103" s="473">
        <f>IF(D93="","-",+C102+1)</f>
        <v>2022</v>
      </c>
      <c r="D103" s="347">
        <f>IF(F102+SUM(E$99:E102)=D$92,F102,D$92-SUM(E$99:E102))</f>
        <v>1062017.5</v>
      </c>
      <c r="E103" s="485">
        <f t="shared" si="17"/>
        <v>27107</v>
      </c>
      <c r="F103" s="486">
        <f t="shared" si="18"/>
        <v>1034910.5</v>
      </c>
      <c r="G103" s="486">
        <f t="shared" si="19"/>
        <v>1048464</v>
      </c>
      <c r="H103" s="487">
        <f t="shared" si="22"/>
        <v>147992.01668590974</v>
      </c>
      <c r="I103" s="543">
        <f t="shared" si="23"/>
        <v>147992.01668590974</v>
      </c>
      <c r="J103" s="479">
        <f t="shared" si="13"/>
        <v>0</v>
      </c>
      <c r="K103" s="479"/>
      <c r="L103" s="488"/>
      <c r="M103" s="479">
        <f t="shared" si="21"/>
        <v>0</v>
      </c>
      <c r="N103" s="488"/>
      <c r="O103" s="479">
        <f t="shared" si="14"/>
        <v>0</v>
      </c>
      <c r="P103" s="479">
        <f t="shared" si="15"/>
        <v>0</v>
      </c>
    </row>
    <row r="104" spans="1:16" ht="12.5">
      <c r="B104" s="160" t="str">
        <f t="shared" si="16"/>
        <v/>
      </c>
      <c r="C104" s="473">
        <f>IF(D93="","-",+C103+1)</f>
        <v>2023</v>
      </c>
      <c r="D104" s="347">
        <f>IF(F103+SUM(E$99:E103)=D$92,F103,D$92-SUM(E$99:E103))</f>
        <v>1034910.5</v>
      </c>
      <c r="E104" s="485">
        <f t="shared" si="17"/>
        <v>27107</v>
      </c>
      <c r="F104" s="486">
        <f t="shared" si="18"/>
        <v>1007803.5</v>
      </c>
      <c r="G104" s="486">
        <f t="shared" si="19"/>
        <v>1021357</v>
      </c>
      <c r="H104" s="487">
        <f t="shared" si="22"/>
        <v>144866.6541104613</v>
      </c>
      <c r="I104" s="543">
        <f t="shared" si="23"/>
        <v>144866.6541104613</v>
      </c>
      <c r="J104" s="479">
        <f t="shared" si="13"/>
        <v>0</v>
      </c>
      <c r="K104" s="479"/>
      <c r="L104" s="488"/>
      <c r="M104" s="479">
        <f t="shared" si="21"/>
        <v>0</v>
      </c>
      <c r="N104" s="488"/>
      <c r="O104" s="479">
        <f t="shared" si="14"/>
        <v>0</v>
      </c>
      <c r="P104" s="479">
        <f t="shared" si="15"/>
        <v>0</v>
      </c>
    </row>
    <row r="105" spans="1:16" ht="12.5">
      <c r="B105" s="160" t="str">
        <f t="shared" si="16"/>
        <v/>
      </c>
      <c r="C105" s="473">
        <f>IF(D93="","-",+C104+1)</f>
        <v>2024</v>
      </c>
      <c r="D105" s="347">
        <f>IF(F104+SUM(E$99:E104)=D$92,F104,D$92-SUM(E$99:E104))</f>
        <v>1007803.5</v>
      </c>
      <c r="E105" s="485">
        <f t="shared" si="17"/>
        <v>27107</v>
      </c>
      <c r="F105" s="486">
        <f t="shared" si="18"/>
        <v>980696.5</v>
      </c>
      <c r="G105" s="486">
        <f t="shared" si="19"/>
        <v>994250</v>
      </c>
      <c r="H105" s="487">
        <f t="shared" si="22"/>
        <v>141741.29153501289</v>
      </c>
      <c r="I105" s="543">
        <f t="shared" si="23"/>
        <v>141741.29153501289</v>
      </c>
      <c r="J105" s="479">
        <f t="shared" si="13"/>
        <v>0</v>
      </c>
      <c r="K105" s="479"/>
      <c r="L105" s="488"/>
      <c r="M105" s="479">
        <f t="shared" si="21"/>
        <v>0</v>
      </c>
      <c r="N105" s="488"/>
      <c r="O105" s="479">
        <f t="shared" si="14"/>
        <v>0</v>
      </c>
      <c r="P105" s="479">
        <f t="shared" si="15"/>
        <v>0</v>
      </c>
    </row>
    <row r="106" spans="1:16" ht="12.5">
      <c r="B106" s="160" t="str">
        <f t="shared" si="16"/>
        <v/>
      </c>
      <c r="C106" s="473">
        <f>IF(D93="","-",+C105+1)</f>
        <v>2025</v>
      </c>
      <c r="D106" s="347">
        <f>IF(F105+SUM(E$99:E105)=D$92,F105,D$92-SUM(E$99:E105))</f>
        <v>980696.5</v>
      </c>
      <c r="E106" s="485">
        <f t="shared" si="17"/>
        <v>27107</v>
      </c>
      <c r="F106" s="486">
        <f t="shared" si="18"/>
        <v>953589.5</v>
      </c>
      <c r="G106" s="486">
        <f t="shared" si="19"/>
        <v>967143</v>
      </c>
      <c r="H106" s="487">
        <f t="shared" si="22"/>
        <v>138615.92895956448</v>
      </c>
      <c r="I106" s="543">
        <f t="shared" si="23"/>
        <v>138615.92895956448</v>
      </c>
      <c r="J106" s="479">
        <f t="shared" si="13"/>
        <v>0</v>
      </c>
      <c r="K106" s="479"/>
      <c r="L106" s="488"/>
      <c r="M106" s="479">
        <f t="shared" si="21"/>
        <v>0</v>
      </c>
      <c r="N106" s="488"/>
      <c r="O106" s="479">
        <f t="shared" si="14"/>
        <v>0</v>
      </c>
      <c r="P106" s="479">
        <f t="shared" si="15"/>
        <v>0</v>
      </c>
    </row>
    <row r="107" spans="1:16" ht="12.5">
      <c r="B107" s="160" t="str">
        <f t="shared" si="16"/>
        <v/>
      </c>
      <c r="C107" s="473">
        <f>IF(D93="","-",+C106+1)</f>
        <v>2026</v>
      </c>
      <c r="D107" s="347">
        <f>IF(F106+SUM(E$99:E106)=D$92,F106,D$92-SUM(E$99:E106))</f>
        <v>953589.5</v>
      </c>
      <c r="E107" s="485">
        <f t="shared" si="17"/>
        <v>27107</v>
      </c>
      <c r="F107" s="486">
        <f t="shared" si="18"/>
        <v>926482.5</v>
      </c>
      <c r="G107" s="486">
        <f t="shared" si="19"/>
        <v>940036</v>
      </c>
      <c r="H107" s="487">
        <f t="shared" si="22"/>
        <v>135490.56638411604</v>
      </c>
      <c r="I107" s="543">
        <f t="shared" si="23"/>
        <v>135490.56638411604</v>
      </c>
      <c r="J107" s="479">
        <f t="shared" si="13"/>
        <v>0</v>
      </c>
      <c r="K107" s="479"/>
      <c r="L107" s="488"/>
      <c r="M107" s="479">
        <f t="shared" si="21"/>
        <v>0</v>
      </c>
      <c r="N107" s="488"/>
      <c r="O107" s="479">
        <f t="shared" si="14"/>
        <v>0</v>
      </c>
      <c r="P107" s="479">
        <f t="shared" si="15"/>
        <v>0</v>
      </c>
    </row>
    <row r="108" spans="1:16" ht="12.5">
      <c r="B108" s="160" t="str">
        <f t="shared" si="16"/>
        <v/>
      </c>
      <c r="C108" s="473">
        <f>IF(D93="","-",+C107+1)</f>
        <v>2027</v>
      </c>
      <c r="D108" s="347">
        <f>IF(F107+SUM(E$99:E107)=D$92,F107,D$92-SUM(E$99:E107))</f>
        <v>926482.5</v>
      </c>
      <c r="E108" s="485">
        <f t="shared" si="17"/>
        <v>27107</v>
      </c>
      <c r="F108" s="486">
        <f t="shared" si="18"/>
        <v>899375.5</v>
      </c>
      <c r="G108" s="486">
        <f t="shared" si="19"/>
        <v>912929</v>
      </c>
      <c r="H108" s="487">
        <f t="shared" si="22"/>
        <v>132365.2038086676</v>
      </c>
      <c r="I108" s="543">
        <f t="shared" si="23"/>
        <v>132365.2038086676</v>
      </c>
      <c r="J108" s="479">
        <f t="shared" si="13"/>
        <v>0</v>
      </c>
      <c r="K108" s="479"/>
      <c r="L108" s="488"/>
      <c r="M108" s="479">
        <f t="shared" si="21"/>
        <v>0</v>
      </c>
      <c r="N108" s="488"/>
      <c r="O108" s="479">
        <f t="shared" si="14"/>
        <v>0</v>
      </c>
      <c r="P108" s="479">
        <f t="shared" si="15"/>
        <v>0</v>
      </c>
    </row>
    <row r="109" spans="1:16" ht="12.5">
      <c r="B109" s="160" t="str">
        <f t="shared" si="16"/>
        <v/>
      </c>
      <c r="C109" s="473">
        <f>IF(D93="","-",+C108+1)</f>
        <v>2028</v>
      </c>
      <c r="D109" s="347">
        <f>IF(F108+SUM(E$99:E108)=D$92,F108,D$92-SUM(E$99:E108))</f>
        <v>899375.5</v>
      </c>
      <c r="E109" s="485">
        <f t="shared" si="17"/>
        <v>27107</v>
      </c>
      <c r="F109" s="486">
        <f t="shared" si="18"/>
        <v>872268.5</v>
      </c>
      <c r="G109" s="486">
        <f t="shared" si="19"/>
        <v>885822</v>
      </c>
      <c r="H109" s="487">
        <f t="shared" si="22"/>
        <v>129239.84123321919</v>
      </c>
      <c r="I109" s="543">
        <f t="shared" si="23"/>
        <v>129239.84123321919</v>
      </c>
      <c r="J109" s="479">
        <f t="shared" si="13"/>
        <v>0</v>
      </c>
      <c r="K109" s="479"/>
      <c r="L109" s="488"/>
      <c r="M109" s="479">
        <f t="shared" si="21"/>
        <v>0</v>
      </c>
      <c r="N109" s="488"/>
      <c r="O109" s="479">
        <f t="shared" si="14"/>
        <v>0</v>
      </c>
      <c r="P109" s="479">
        <f t="shared" si="15"/>
        <v>0</v>
      </c>
    </row>
    <row r="110" spans="1:16" ht="12.5">
      <c r="B110" s="160" t="str">
        <f t="shared" si="16"/>
        <v/>
      </c>
      <c r="C110" s="473">
        <f>IF(D93="","-",+C109+1)</f>
        <v>2029</v>
      </c>
      <c r="D110" s="347">
        <f>IF(F109+SUM(E$99:E109)=D$92,F109,D$92-SUM(E$99:E109))</f>
        <v>872268.5</v>
      </c>
      <c r="E110" s="485">
        <f t="shared" si="17"/>
        <v>27107</v>
      </c>
      <c r="F110" s="486">
        <f t="shared" si="18"/>
        <v>845161.5</v>
      </c>
      <c r="G110" s="486">
        <f t="shared" si="19"/>
        <v>858715</v>
      </c>
      <c r="H110" s="487">
        <f t="shared" si="22"/>
        <v>126114.47865777077</v>
      </c>
      <c r="I110" s="543">
        <f t="shared" si="23"/>
        <v>126114.47865777077</v>
      </c>
      <c r="J110" s="479">
        <f t="shared" si="13"/>
        <v>0</v>
      </c>
      <c r="K110" s="479"/>
      <c r="L110" s="488"/>
      <c r="M110" s="479">
        <f t="shared" si="21"/>
        <v>0</v>
      </c>
      <c r="N110" s="488"/>
      <c r="O110" s="479">
        <f t="shared" si="14"/>
        <v>0</v>
      </c>
      <c r="P110" s="479">
        <f t="shared" si="15"/>
        <v>0</v>
      </c>
    </row>
    <row r="111" spans="1:16" ht="12.5">
      <c r="B111" s="160" t="str">
        <f t="shared" si="16"/>
        <v/>
      </c>
      <c r="C111" s="473">
        <f>IF(D93="","-",+C110+1)</f>
        <v>2030</v>
      </c>
      <c r="D111" s="347">
        <f>IF(F110+SUM(E$99:E110)=D$92,F110,D$92-SUM(E$99:E110))</f>
        <v>845161.5</v>
      </c>
      <c r="E111" s="485">
        <f t="shared" si="17"/>
        <v>27107</v>
      </c>
      <c r="F111" s="486">
        <f t="shared" si="18"/>
        <v>818054.5</v>
      </c>
      <c r="G111" s="486">
        <f t="shared" si="19"/>
        <v>831608</v>
      </c>
      <c r="H111" s="487">
        <f t="shared" si="22"/>
        <v>122989.11608232235</v>
      </c>
      <c r="I111" s="543">
        <f t="shared" si="23"/>
        <v>122989.11608232235</v>
      </c>
      <c r="J111" s="479">
        <f t="shared" si="13"/>
        <v>0</v>
      </c>
      <c r="K111" s="479"/>
      <c r="L111" s="488"/>
      <c r="M111" s="479">
        <f t="shared" si="21"/>
        <v>0</v>
      </c>
      <c r="N111" s="488"/>
      <c r="O111" s="479">
        <f t="shared" si="14"/>
        <v>0</v>
      </c>
      <c r="P111" s="479">
        <f t="shared" si="15"/>
        <v>0</v>
      </c>
    </row>
    <row r="112" spans="1:16" ht="12.5">
      <c r="B112" s="160" t="str">
        <f t="shared" si="16"/>
        <v/>
      </c>
      <c r="C112" s="473">
        <f>IF(D93="","-",+C111+1)</f>
        <v>2031</v>
      </c>
      <c r="D112" s="347">
        <f>IF(F111+SUM(E$99:E111)=D$92,F111,D$92-SUM(E$99:E111))</f>
        <v>818054.5</v>
      </c>
      <c r="E112" s="485">
        <f t="shared" si="17"/>
        <v>27107</v>
      </c>
      <c r="F112" s="486">
        <f t="shared" si="18"/>
        <v>790947.5</v>
      </c>
      <c r="G112" s="486">
        <f t="shared" si="19"/>
        <v>804501</v>
      </c>
      <c r="H112" s="487">
        <f t="shared" si="22"/>
        <v>119863.75350687392</v>
      </c>
      <c r="I112" s="543">
        <f t="shared" si="23"/>
        <v>119863.75350687392</v>
      </c>
      <c r="J112" s="479">
        <f t="shared" si="13"/>
        <v>0</v>
      </c>
      <c r="K112" s="479"/>
      <c r="L112" s="488"/>
      <c r="M112" s="479">
        <f t="shared" si="21"/>
        <v>0</v>
      </c>
      <c r="N112" s="488"/>
      <c r="O112" s="479">
        <f t="shared" si="14"/>
        <v>0</v>
      </c>
      <c r="P112" s="479">
        <f t="shared" si="15"/>
        <v>0</v>
      </c>
    </row>
    <row r="113" spans="2:16" ht="12.5">
      <c r="B113" s="160" t="str">
        <f t="shared" si="16"/>
        <v/>
      </c>
      <c r="C113" s="473">
        <f>IF(D93="","-",+C112+1)</f>
        <v>2032</v>
      </c>
      <c r="D113" s="347">
        <f>IF(F112+SUM(E$99:E112)=D$92,F112,D$92-SUM(E$99:E112))</f>
        <v>790947.5</v>
      </c>
      <c r="E113" s="485">
        <f t="shared" si="17"/>
        <v>27107</v>
      </c>
      <c r="F113" s="486">
        <f t="shared" si="18"/>
        <v>763840.5</v>
      </c>
      <c r="G113" s="486">
        <f t="shared" si="19"/>
        <v>777394</v>
      </c>
      <c r="H113" s="487">
        <f t="shared" si="22"/>
        <v>116738.3909314255</v>
      </c>
      <c r="I113" s="543">
        <f t="shared" si="23"/>
        <v>116738.3909314255</v>
      </c>
      <c r="J113" s="479">
        <f t="shared" si="13"/>
        <v>0</v>
      </c>
      <c r="K113" s="479"/>
      <c r="L113" s="488"/>
      <c r="M113" s="479">
        <f t="shared" si="21"/>
        <v>0</v>
      </c>
      <c r="N113" s="488"/>
      <c r="O113" s="479">
        <f t="shared" si="14"/>
        <v>0</v>
      </c>
      <c r="P113" s="479">
        <f t="shared" si="15"/>
        <v>0</v>
      </c>
    </row>
    <row r="114" spans="2:16" ht="12.5">
      <c r="B114" s="160" t="str">
        <f t="shared" si="16"/>
        <v/>
      </c>
      <c r="C114" s="473">
        <f>IF(D93="","-",+C113+1)</f>
        <v>2033</v>
      </c>
      <c r="D114" s="347">
        <f>IF(F113+SUM(E$99:E113)=D$92,F113,D$92-SUM(E$99:E113))</f>
        <v>763840.5</v>
      </c>
      <c r="E114" s="485">
        <f t="shared" si="17"/>
        <v>27107</v>
      </c>
      <c r="F114" s="486">
        <f t="shared" si="18"/>
        <v>736733.5</v>
      </c>
      <c r="G114" s="486">
        <f t="shared" si="19"/>
        <v>750287</v>
      </c>
      <c r="H114" s="487">
        <f t="shared" si="22"/>
        <v>113613.02835597708</v>
      </c>
      <c r="I114" s="543">
        <f t="shared" si="23"/>
        <v>113613.02835597708</v>
      </c>
      <c r="J114" s="479">
        <f t="shared" si="13"/>
        <v>0</v>
      </c>
      <c r="K114" s="479"/>
      <c r="L114" s="488"/>
      <c r="M114" s="479">
        <f t="shared" si="21"/>
        <v>0</v>
      </c>
      <c r="N114" s="488"/>
      <c r="O114" s="479">
        <f t="shared" si="14"/>
        <v>0</v>
      </c>
      <c r="P114" s="479">
        <f t="shared" si="15"/>
        <v>0</v>
      </c>
    </row>
    <row r="115" spans="2:16" ht="12.5">
      <c r="B115" s="160" t="str">
        <f t="shared" si="16"/>
        <v/>
      </c>
      <c r="C115" s="473">
        <f>IF(D93="","-",+C114+1)</f>
        <v>2034</v>
      </c>
      <c r="D115" s="347">
        <f>IF(F114+SUM(E$99:E114)=D$92,F114,D$92-SUM(E$99:E114))</f>
        <v>736733.5</v>
      </c>
      <c r="E115" s="485">
        <f t="shared" si="17"/>
        <v>27107</v>
      </c>
      <c r="F115" s="486">
        <f t="shared" si="18"/>
        <v>709626.5</v>
      </c>
      <c r="G115" s="486">
        <f t="shared" si="19"/>
        <v>723180</v>
      </c>
      <c r="H115" s="487">
        <f t="shared" si="22"/>
        <v>110487.66578052867</v>
      </c>
      <c r="I115" s="543">
        <f t="shared" si="23"/>
        <v>110487.66578052867</v>
      </c>
      <c r="J115" s="479">
        <f t="shared" si="13"/>
        <v>0</v>
      </c>
      <c r="K115" s="479"/>
      <c r="L115" s="488"/>
      <c r="M115" s="479">
        <f t="shared" si="21"/>
        <v>0</v>
      </c>
      <c r="N115" s="488"/>
      <c r="O115" s="479">
        <f t="shared" si="14"/>
        <v>0</v>
      </c>
      <c r="P115" s="479">
        <f t="shared" si="15"/>
        <v>0</v>
      </c>
    </row>
    <row r="116" spans="2:16" ht="12.5">
      <c r="B116" s="160" t="str">
        <f t="shared" si="16"/>
        <v/>
      </c>
      <c r="C116" s="473">
        <f>IF(D93="","-",+C115+1)</f>
        <v>2035</v>
      </c>
      <c r="D116" s="347">
        <f>IF(F115+SUM(E$99:E115)=D$92,F115,D$92-SUM(E$99:E115))</f>
        <v>709626.5</v>
      </c>
      <c r="E116" s="485">
        <f t="shared" si="17"/>
        <v>27107</v>
      </c>
      <c r="F116" s="486">
        <f t="shared" si="18"/>
        <v>682519.5</v>
      </c>
      <c r="G116" s="486">
        <f t="shared" si="19"/>
        <v>696073</v>
      </c>
      <c r="H116" s="487">
        <f t="shared" si="22"/>
        <v>107362.30320508024</v>
      </c>
      <c r="I116" s="543">
        <f t="shared" si="23"/>
        <v>107362.30320508024</v>
      </c>
      <c r="J116" s="479">
        <f t="shared" si="13"/>
        <v>0</v>
      </c>
      <c r="K116" s="479"/>
      <c r="L116" s="488"/>
      <c r="M116" s="479">
        <f t="shared" si="21"/>
        <v>0</v>
      </c>
      <c r="N116" s="488"/>
      <c r="O116" s="479">
        <f t="shared" si="14"/>
        <v>0</v>
      </c>
      <c r="P116" s="479">
        <f t="shared" si="15"/>
        <v>0</v>
      </c>
    </row>
    <row r="117" spans="2:16" ht="12.5">
      <c r="B117" s="160" t="str">
        <f t="shared" si="16"/>
        <v/>
      </c>
      <c r="C117" s="473">
        <f>IF(D93="","-",+C116+1)</f>
        <v>2036</v>
      </c>
      <c r="D117" s="347">
        <f>IF(F116+SUM(E$99:E116)=D$92,F116,D$92-SUM(E$99:E116))</f>
        <v>682519.5</v>
      </c>
      <c r="E117" s="485">
        <f t="shared" si="17"/>
        <v>27107</v>
      </c>
      <c r="F117" s="486">
        <f t="shared" si="18"/>
        <v>655412.5</v>
      </c>
      <c r="G117" s="486">
        <f t="shared" si="19"/>
        <v>668966</v>
      </c>
      <c r="H117" s="487">
        <f t="shared" si="22"/>
        <v>104236.94062963182</v>
      </c>
      <c r="I117" s="543">
        <f t="shared" si="23"/>
        <v>104236.94062963182</v>
      </c>
      <c r="J117" s="479">
        <f t="shared" si="13"/>
        <v>0</v>
      </c>
      <c r="K117" s="479"/>
      <c r="L117" s="488"/>
      <c r="M117" s="479">
        <f t="shared" si="21"/>
        <v>0</v>
      </c>
      <c r="N117" s="488"/>
      <c r="O117" s="479">
        <f t="shared" si="14"/>
        <v>0</v>
      </c>
      <c r="P117" s="479">
        <f t="shared" si="15"/>
        <v>0</v>
      </c>
    </row>
    <row r="118" spans="2:16" ht="12.5">
      <c r="B118" s="160" t="str">
        <f t="shared" si="16"/>
        <v/>
      </c>
      <c r="C118" s="473">
        <f>IF(D93="","-",+C117+1)</f>
        <v>2037</v>
      </c>
      <c r="D118" s="347">
        <f>IF(F117+SUM(E$99:E117)=D$92,F117,D$92-SUM(E$99:E117))</f>
        <v>655412.5</v>
      </c>
      <c r="E118" s="485">
        <f t="shared" si="17"/>
        <v>27107</v>
      </c>
      <c r="F118" s="486">
        <f t="shared" si="18"/>
        <v>628305.5</v>
      </c>
      <c r="G118" s="486">
        <f t="shared" si="19"/>
        <v>641859</v>
      </c>
      <c r="H118" s="487">
        <f t="shared" si="22"/>
        <v>101111.5780541834</v>
      </c>
      <c r="I118" s="543">
        <f t="shared" si="23"/>
        <v>101111.5780541834</v>
      </c>
      <c r="J118" s="479">
        <f t="shared" si="13"/>
        <v>0</v>
      </c>
      <c r="K118" s="479"/>
      <c r="L118" s="488"/>
      <c r="M118" s="479">
        <f t="shared" si="21"/>
        <v>0</v>
      </c>
      <c r="N118" s="488"/>
      <c r="O118" s="479">
        <f t="shared" si="14"/>
        <v>0</v>
      </c>
      <c r="P118" s="479">
        <f t="shared" si="15"/>
        <v>0</v>
      </c>
    </row>
    <row r="119" spans="2:16" ht="12.5">
      <c r="B119" s="160" t="str">
        <f t="shared" si="16"/>
        <v/>
      </c>
      <c r="C119" s="473">
        <f>IF(D93="","-",+C118+1)</f>
        <v>2038</v>
      </c>
      <c r="D119" s="347">
        <f>IF(F118+SUM(E$99:E118)=D$92,F118,D$92-SUM(E$99:E118))</f>
        <v>628305.5</v>
      </c>
      <c r="E119" s="485">
        <f t="shared" si="17"/>
        <v>27107</v>
      </c>
      <c r="F119" s="486">
        <f t="shared" si="18"/>
        <v>601198.5</v>
      </c>
      <c r="G119" s="486">
        <f t="shared" si="19"/>
        <v>614752</v>
      </c>
      <c r="H119" s="487">
        <f t="shared" si="22"/>
        <v>97986.215478734972</v>
      </c>
      <c r="I119" s="543">
        <f t="shared" si="23"/>
        <v>97986.215478734972</v>
      </c>
      <c r="J119" s="479">
        <f t="shared" si="13"/>
        <v>0</v>
      </c>
      <c r="K119" s="479"/>
      <c r="L119" s="488"/>
      <c r="M119" s="479">
        <f t="shared" si="21"/>
        <v>0</v>
      </c>
      <c r="N119" s="488"/>
      <c r="O119" s="479">
        <f t="shared" si="14"/>
        <v>0</v>
      </c>
      <c r="P119" s="479">
        <f t="shared" si="15"/>
        <v>0</v>
      </c>
    </row>
    <row r="120" spans="2:16" ht="12.5">
      <c r="B120" s="160" t="str">
        <f t="shared" si="16"/>
        <v/>
      </c>
      <c r="C120" s="473">
        <f>IF(D93="","-",+C119+1)</f>
        <v>2039</v>
      </c>
      <c r="D120" s="347">
        <f>IF(F119+SUM(E$99:E119)=D$92,F119,D$92-SUM(E$99:E119))</f>
        <v>601198.5</v>
      </c>
      <c r="E120" s="485">
        <f t="shared" si="17"/>
        <v>27107</v>
      </c>
      <c r="F120" s="486">
        <f t="shared" si="18"/>
        <v>574091.5</v>
      </c>
      <c r="G120" s="486">
        <f t="shared" si="19"/>
        <v>587645</v>
      </c>
      <c r="H120" s="487">
        <f t="shared" si="22"/>
        <v>94860.852903286548</v>
      </c>
      <c r="I120" s="543">
        <f t="shared" si="23"/>
        <v>94860.852903286548</v>
      </c>
      <c r="J120" s="479">
        <f t="shared" si="13"/>
        <v>0</v>
      </c>
      <c r="K120" s="479"/>
      <c r="L120" s="488"/>
      <c r="M120" s="479">
        <f t="shared" si="21"/>
        <v>0</v>
      </c>
      <c r="N120" s="488"/>
      <c r="O120" s="479">
        <f t="shared" si="14"/>
        <v>0</v>
      </c>
      <c r="P120" s="479">
        <f t="shared" si="15"/>
        <v>0</v>
      </c>
    </row>
    <row r="121" spans="2:16" ht="12.5">
      <c r="B121" s="160" t="str">
        <f t="shared" si="16"/>
        <v/>
      </c>
      <c r="C121" s="473">
        <f>IF(D93="","-",+C120+1)</f>
        <v>2040</v>
      </c>
      <c r="D121" s="347">
        <f>IF(F120+SUM(E$99:E120)=D$92,F120,D$92-SUM(E$99:E120))</f>
        <v>574091.5</v>
      </c>
      <c r="E121" s="485">
        <f t="shared" si="17"/>
        <v>27107</v>
      </c>
      <c r="F121" s="486">
        <f t="shared" si="18"/>
        <v>546984.5</v>
      </c>
      <c r="G121" s="486">
        <f t="shared" si="19"/>
        <v>560538</v>
      </c>
      <c r="H121" s="487">
        <f t="shared" si="22"/>
        <v>91735.490327838124</v>
      </c>
      <c r="I121" s="543">
        <f t="shared" si="23"/>
        <v>91735.490327838124</v>
      </c>
      <c r="J121" s="479">
        <f t="shared" si="13"/>
        <v>0</v>
      </c>
      <c r="K121" s="479"/>
      <c r="L121" s="488"/>
      <c r="M121" s="479">
        <f t="shared" si="21"/>
        <v>0</v>
      </c>
      <c r="N121" s="488"/>
      <c r="O121" s="479">
        <f t="shared" si="14"/>
        <v>0</v>
      </c>
      <c r="P121" s="479">
        <f t="shared" si="15"/>
        <v>0</v>
      </c>
    </row>
    <row r="122" spans="2:16" ht="12.5">
      <c r="B122" s="160" t="str">
        <f t="shared" si="16"/>
        <v/>
      </c>
      <c r="C122" s="473">
        <f>IF(D93="","-",+C121+1)</f>
        <v>2041</v>
      </c>
      <c r="D122" s="347">
        <f>IF(F121+SUM(E$99:E121)=D$92,F121,D$92-SUM(E$99:E121))</f>
        <v>546984.5</v>
      </c>
      <c r="E122" s="485">
        <f t="shared" si="17"/>
        <v>27107</v>
      </c>
      <c r="F122" s="486">
        <f t="shared" si="18"/>
        <v>519877.5</v>
      </c>
      <c r="G122" s="486">
        <f t="shared" si="19"/>
        <v>533431</v>
      </c>
      <c r="H122" s="487">
        <f t="shared" si="22"/>
        <v>88610.127752389701</v>
      </c>
      <c r="I122" s="543">
        <f t="shared" si="23"/>
        <v>88610.127752389701</v>
      </c>
      <c r="J122" s="479">
        <f t="shared" si="13"/>
        <v>0</v>
      </c>
      <c r="K122" s="479"/>
      <c r="L122" s="488"/>
      <c r="M122" s="479">
        <f t="shared" si="21"/>
        <v>0</v>
      </c>
      <c r="N122" s="488"/>
      <c r="O122" s="479">
        <f t="shared" si="14"/>
        <v>0</v>
      </c>
      <c r="P122" s="479">
        <f t="shared" si="15"/>
        <v>0</v>
      </c>
    </row>
    <row r="123" spans="2:16" ht="12.5">
      <c r="B123" s="160" t="str">
        <f t="shared" si="16"/>
        <v/>
      </c>
      <c r="C123" s="473">
        <f>IF(D93="","-",+C122+1)</f>
        <v>2042</v>
      </c>
      <c r="D123" s="347">
        <f>IF(F122+SUM(E$99:E122)=D$92,F122,D$92-SUM(E$99:E122))</f>
        <v>519877.5</v>
      </c>
      <c r="E123" s="485">
        <f t="shared" si="17"/>
        <v>27107</v>
      </c>
      <c r="F123" s="486">
        <f t="shared" si="18"/>
        <v>492770.5</v>
      </c>
      <c r="G123" s="486">
        <f t="shared" si="19"/>
        <v>506324</v>
      </c>
      <c r="H123" s="487">
        <f t="shared" si="22"/>
        <v>85484.765176941277</v>
      </c>
      <c r="I123" s="543">
        <f t="shared" si="23"/>
        <v>85484.765176941277</v>
      </c>
      <c r="J123" s="479">
        <f t="shared" si="13"/>
        <v>0</v>
      </c>
      <c r="K123" s="479"/>
      <c r="L123" s="488"/>
      <c r="M123" s="479">
        <f t="shared" si="21"/>
        <v>0</v>
      </c>
      <c r="N123" s="488"/>
      <c r="O123" s="479">
        <f t="shared" si="14"/>
        <v>0</v>
      </c>
      <c r="P123" s="479">
        <f t="shared" si="15"/>
        <v>0</v>
      </c>
    </row>
    <row r="124" spans="2:16" ht="12.5">
      <c r="B124" s="160" t="str">
        <f t="shared" si="16"/>
        <v/>
      </c>
      <c r="C124" s="473">
        <f>IF(D93="","-",+C123+1)</f>
        <v>2043</v>
      </c>
      <c r="D124" s="347">
        <f>IF(F123+SUM(E$99:E123)=D$92,F123,D$92-SUM(E$99:E123))</f>
        <v>492770.5</v>
      </c>
      <c r="E124" s="485">
        <f t="shared" si="17"/>
        <v>27107</v>
      </c>
      <c r="F124" s="486">
        <f t="shared" si="18"/>
        <v>465663.5</v>
      </c>
      <c r="G124" s="486">
        <f t="shared" si="19"/>
        <v>479217</v>
      </c>
      <c r="H124" s="487">
        <f t="shared" si="22"/>
        <v>82359.402601492853</v>
      </c>
      <c r="I124" s="543">
        <f t="shared" si="23"/>
        <v>82359.402601492853</v>
      </c>
      <c r="J124" s="479">
        <f t="shared" si="13"/>
        <v>0</v>
      </c>
      <c r="K124" s="479"/>
      <c r="L124" s="488"/>
      <c r="M124" s="479">
        <f t="shared" si="21"/>
        <v>0</v>
      </c>
      <c r="N124" s="488"/>
      <c r="O124" s="479">
        <f t="shared" si="14"/>
        <v>0</v>
      </c>
      <c r="P124" s="479">
        <f t="shared" si="15"/>
        <v>0</v>
      </c>
    </row>
    <row r="125" spans="2:16" ht="12.5">
      <c r="B125" s="160" t="str">
        <f t="shared" si="16"/>
        <v/>
      </c>
      <c r="C125" s="473">
        <f>IF(D93="","-",+C124+1)</f>
        <v>2044</v>
      </c>
      <c r="D125" s="347">
        <f>IF(F124+SUM(E$99:E124)=D$92,F124,D$92-SUM(E$99:E124))</f>
        <v>465663.5</v>
      </c>
      <c r="E125" s="485">
        <f t="shared" si="17"/>
        <v>27107</v>
      </c>
      <c r="F125" s="486">
        <f t="shared" si="18"/>
        <v>438556.5</v>
      </c>
      <c r="G125" s="486">
        <f t="shared" si="19"/>
        <v>452110</v>
      </c>
      <c r="H125" s="487">
        <f t="shared" si="22"/>
        <v>79234.040026044429</v>
      </c>
      <c r="I125" s="543">
        <f t="shared" si="23"/>
        <v>79234.040026044429</v>
      </c>
      <c r="J125" s="479">
        <f t="shared" si="13"/>
        <v>0</v>
      </c>
      <c r="K125" s="479"/>
      <c r="L125" s="488"/>
      <c r="M125" s="479">
        <f t="shared" si="21"/>
        <v>0</v>
      </c>
      <c r="N125" s="488"/>
      <c r="O125" s="479">
        <f t="shared" si="14"/>
        <v>0</v>
      </c>
      <c r="P125" s="479">
        <f t="shared" si="15"/>
        <v>0</v>
      </c>
    </row>
    <row r="126" spans="2:16" ht="12.5">
      <c r="B126" s="160" t="str">
        <f t="shared" si="16"/>
        <v/>
      </c>
      <c r="C126" s="473">
        <f>IF(D93="","-",+C125+1)</f>
        <v>2045</v>
      </c>
      <c r="D126" s="347">
        <f>IF(F125+SUM(E$99:E125)=D$92,F125,D$92-SUM(E$99:E125))</f>
        <v>438556.5</v>
      </c>
      <c r="E126" s="485">
        <f t="shared" si="17"/>
        <v>27107</v>
      </c>
      <c r="F126" s="486">
        <f t="shared" si="18"/>
        <v>411449.5</v>
      </c>
      <c r="G126" s="486">
        <f t="shared" si="19"/>
        <v>425003</v>
      </c>
      <c r="H126" s="487">
        <f t="shared" si="22"/>
        <v>76108.677450596006</v>
      </c>
      <c r="I126" s="543">
        <f t="shared" si="23"/>
        <v>76108.677450596006</v>
      </c>
      <c r="J126" s="479">
        <f t="shared" si="13"/>
        <v>0</v>
      </c>
      <c r="K126" s="479"/>
      <c r="L126" s="488"/>
      <c r="M126" s="479">
        <f t="shared" si="21"/>
        <v>0</v>
      </c>
      <c r="N126" s="488"/>
      <c r="O126" s="479">
        <f t="shared" si="14"/>
        <v>0</v>
      </c>
      <c r="P126" s="479">
        <f t="shared" si="15"/>
        <v>0</v>
      </c>
    </row>
    <row r="127" spans="2:16" ht="12.5">
      <c r="B127" s="160" t="str">
        <f t="shared" si="16"/>
        <v/>
      </c>
      <c r="C127" s="473">
        <f>IF(D93="","-",+C126+1)</f>
        <v>2046</v>
      </c>
      <c r="D127" s="347">
        <f>IF(F126+SUM(E$99:E126)=D$92,F126,D$92-SUM(E$99:E126))</f>
        <v>411449.5</v>
      </c>
      <c r="E127" s="485">
        <f t="shared" si="17"/>
        <v>27107</v>
      </c>
      <c r="F127" s="486">
        <f t="shared" si="18"/>
        <v>384342.5</v>
      </c>
      <c r="G127" s="486">
        <f t="shared" si="19"/>
        <v>397896</v>
      </c>
      <c r="H127" s="487">
        <f t="shared" si="22"/>
        <v>72983.314875147596</v>
      </c>
      <c r="I127" s="543">
        <f t="shared" si="23"/>
        <v>72983.314875147596</v>
      </c>
      <c r="J127" s="479">
        <f t="shared" si="13"/>
        <v>0</v>
      </c>
      <c r="K127" s="479"/>
      <c r="L127" s="488"/>
      <c r="M127" s="479">
        <f t="shared" si="21"/>
        <v>0</v>
      </c>
      <c r="N127" s="488"/>
      <c r="O127" s="479">
        <f t="shared" si="14"/>
        <v>0</v>
      </c>
      <c r="P127" s="479">
        <f t="shared" si="15"/>
        <v>0</v>
      </c>
    </row>
    <row r="128" spans="2:16" ht="12.5">
      <c r="B128" s="160" t="str">
        <f t="shared" si="16"/>
        <v/>
      </c>
      <c r="C128" s="473">
        <f>IF(D93="","-",+C127+1)</f>
        <v>2047</v>
      </c>
      <c r="D128" s="347">
        <f>IF(F127+SUM(E$99:E127)=D$92,F127,D$92-SUM(E$99:E127))</f>
        <v>384342.5</v>
      </c>
      <c r="E128" s="485">
        <f t="shared" si="17"/>
        <v>27107</v>
      </c>
      <c r="F128" s="486">
        <f t="shared" si="18"/>
        <v>357235.5</v>
      </c>
      <c r="G128" s="486">
        <f t="shared" si="19"/>
        <v>370789</v>
      </c>
      <c r="H128" s="487">
        <f t="shared" si="22"/>
        <v>69857.952299699158</v>
      </c>
      <c r="I128" s="543">
        <f t="shared" si="23"/>
        <v>69857.952299699158</v>
      </c>
      <c r="J128" s="479">
        <f t="shared" si="13"/>
        <v>0</v>
      </c>
      <c r="K128" s="479"/>
      <c r="L128" s="488"/>
      <c r="M128" s="479">
        <f t="shared" si="21"/>
        <v>0</v>
      </c>
      <c r="N128" s="488"/>
      <c r="O128" s="479">
        <f t="shared" si="14"/>
        <v>0</v>
      </c>
      <c r="P128" s="479">
        <f t="shared" si="15"/>
        <v>0</v>
      </c>
    </row>
    <row r="129" spans="2:16" ht="12.5">
      <c r="B129" s="160" t="str">
        <f t="shared" si="16"/>
        <v/>
      </c>
      <c r="C129" s="473">
        <f>IF(D93="","-",+C128+1)</f>
        <v>2048</v>
      </c>
      <c r="D129" s="347">
        <f>IF(F128+SUM(E$99:E128)=D$92,F128,D$92-SUM(E$99:E128))</f>
        <v>357235.5</v>
      </c>
      <c r="E129" s="485">
        <f t="shared" si="17"/>
        <v>27107</v>
      </c>
      <c r="F129" s="486">
        <f t="shared" si="18"/>
        <v>330128.5</v>
      </c>
      <c r="G129" s="486">
        <f t="shared" si="19"/>
        <v>343682</v>
      </c>
      <c r="H129" s="487">
        <f t="shared" si="22"/>
        <v>66732.589724250749</v>
      </c>
      <c r="I129" s="543">
        <f t="shared" si="23"/>
        <v>66732.589724250749</v>
      </c>
      <c r="J129" s="479">
        <f t="shared" si="13"/>
        <v>0</v>
      </c>
      <c r="K129" s="479"/>
      <c r="L129" s="488"/>
      <c r="M129" s="479">
        <f t="shared" si="21"/>
        <v>0</v>
      </c>
      <c r="N129" s="488"/>
      <c r="O129" s="479">
        <f t="shared" si="14"/>
        <v>0</v>
      </c>
      <c r="P129" s="479">
        <f t="shared" si="15"/>
        <v>0</v>
      </c>
    </row>
    <row r="130" spans="2:16" ht="12.5">
      <c r="B130" s="160" t="str">
        <f t="shared" si="16"/>
        <v/>
      </c>
      <c r="C130" s="473">
        <f>IF(D93="","-",+C129+1)</f>
        <v>2049</v>
      </c>
      <c r="D130" s="347">
        <f>IF(F129+SUM(E$99:E129)=D$92,F129,D$92-SUM(E$99:E129))</f>
        <v>330128.5</v>
      </c>
      <c r="E130" s="485">
        <f t="shared" si="17"/>
        <v>27107</v>
      </c>
      <c r="F130" s="486">
        <f t="shared" si="18"/>
        <v>303021.5</v>
      </c>
      <c r="G130" s="486">
        <f t="shared" si="19"/>
        <v>316575</v>
      </c>
      <c r="H130" s="487">
        <f t="shared" si="22"/>
        <v>63607.227148802318</v>
      </c>
      <c r="I130" s="543">
        <f t="shared" si="23"/>
        <v>63607.227148802318</v>
      </c>
      <c r="J130" s="479">
        <f t="shared" si="13"/>
        <v>0</v>
      </c>
      <c r="K130" s="479"/>
      <c r="L130" s="488"/>
      <c r="M130" s="479">
        <f t="shared" si="21"/>
        <v>0</v>
      </c>
      <c r="N130" s="488"/>
      <c r="O130" s="479">
        <f t="shared" si="14"/>
        <v>0</v>
      </c>
      <c r="P130" s="479">
        <f t="shared" si="15"/>
        <v>0</v>
      </c>
    </row>
    <row r="131" spans="2:16" ht="12.5">
      <c r="B131" s="160" t="str">
        <f t="shared" si="16"/>
        <v/>
      </c>
      <c r="C131" s="473">
        <f>IF(D93="","-",+C130+1)</f>
        <v>2050</v>
      </c>
      <c r="D131" s="347">
        <f>IF(F130+SUM(E$99:E130)=D$92,F130,D$92-SUM(E$99:E130))</f>
        <v>303021.5</v>
      </c>
      <c r="E131" s="485">
        <f t="shared" si="17"/>
        <v>27107</v>
      </c>
      <c r="F131" s="486">
        <f t="shared" si="18"/>
        <v>275914.5</v>
      </c>
      <c r="G131" s="486">
        <f t="shared" si="19"/>
        <v>289468</v>
      </c>
      <c r="H131" s="487">
        <f t="shared" si="22"/>
        <v>60481.864573353894</v>
      </c>
      <c r="I131" s="543">
        <f t="shared" si="23"/>
        <v>60481.864573353894</v>
      </c>
      <c r="J131" s="479">
        <f t="shared" ref="J131:J154" si="24">+I541-H541</f>
        <v>0</v>
      </c>
      <c r="K131" s="479"/>
      <c r="L131" s="488"/>
      <c r="M131" s="479">
        <f t="shared" ref="M131:M154" si="25">IF(L541&lt;&gt;0,+H541-L541,0)</f>
        <v>0</v>
      </c>
      <c r="N131" s="488"/>
      <c r="O131" s="479">
        <f t="shared" ref="O131:O154" si="26">IF(N541&lt;&gt;0,+I541-N541,0)</f>
        <v>0</v>
      </c>
      <c r="P131" s="479">
        <f t="shared" ref="P131:P154" si="27">+O541-M541</f>
        <v>0</v>
      </c>
    </row>
    <row r="132" spans="2:16" ht="12.5">
      <c r="B132" s="160" t="str">
        <f t="shared" si="16"/>
        <v/>
      </c>
      <c r="C132" s="473">
        <f>IF(D93="","-",+C131+1)</f>
        <v>2051</v>
      </c>
      <c r="D132" s="347">
        <f>IF(F131+SUM(E$99:E131)=D$92,F131,D$92-SUM(E$99:E131))</f>
        <v>275914.5</v>
      </c>
      <c r="E132" s="485">
        <f t="shared" si="17"/>
        <v>27107</v>
      </c>
      <c r="F132" s="486">
        <f t="shared" si="18"/>
        <v>248807.5</v>
      </c>
      <c r="G132" s="486">
        <f t="shared" si="19"/>
        <v>262361</v>
      </c>
      <c r="H132" s="487">
        <f t="shared" si="22"/>
        <v>57356.501997905478</v>
      </c>
      <c r="I132" s="543">
        <f t="shared" si="23"/>
        <v>57356.501997905478</v>
      </c>
      <c r="J132" s="479">
        <f t="shared" si="24"/>
        <v>0</v>
      </c>
      <c r="K132" s="479"/>
      <c r="L132" s="488"/>
      <c r="M132" s="479">
        <f t="shared" si="25"/>
        <v>0</v>
      </c>
      <c r="N132" s="488"/>
      <c r="O132" s="479">
        <f t="shared" si="26"/>
        <v>0</v>
      </c>
      <c r="P132" s="479">
        <f t="shared" si="27"/>
        <v>0</v>
      </c>
    </row>
    <row r="133" spans="2:16" ht="12.5">
      <c r="B133" s="160" t="str">
        <f t="shared" si="16"/>
        <v/>
      </c>
      <c r="C133" s="473">
        <f>IF(D93="","-",+C132+1)</f>
        <v>2052</v>
      </c>
      <c r="D133" s="347">
        <f>IF(F132+SUM(E$99:E132)=D$92,F132,D$92-SUM(E$99:E132))</f>
        <v>248807.5</v>
      </c>
      <c r="E133" s="485">
        <f t="shared" si="17"/>
        <v>27107</v>
      </c>
      <c r="F133" s="486">
        <f t="shared" si="18"/>
        <v>221700.5</v>
      </c>
      <c r="G133" s="486">
        <f t="shared" si="19"/>
        <v>235254</v>
      </c>
      <c r="H133" s="487">
        <f t="shared" si="22"/>
        <v>54231.139422457054</v>
      </c>
      <c r="I133" s="543">
        <f t="shared" si="23"/>
        <v>54231.139422457054</v>
      </c>
      <c r="J133" s="479">
        <f t="shared" si="24"/>
        <v>0</v>
      </c>
      <c r="K133" s="479"/>
      <c r="L133" s="488"/>
      <c r="M133" s="479">
        <f t="shared" si="25"/>
        <v>0</v>
      </c>
      <c r="N133" s="488"/>
      <c r="O133" s="479">
        <f t="shared" si="26"/>
        <v>0</v>
      </c>
      <c r="P133" s="479">
        <f t="shared" si="27"/>
        <v>0</v>
      </c>
    </row>
    <row r="134" spans="2:16" ht="12.5">
      <c r="B134" s="160" t="str">
        <f t="shared" si="16"/>
        <v/>
      </c>
      <c r="C134" s="473">
        <f>IF(D93="","-",+C133+1)</f>
        <v>2053</v>
      </c>
      <c r="D134" s="347">
        <f>IF(F133+SUM(E$99:E133)=D$92,F133,D$92-SUM(E$99:E133))</f>
        <v>221700.5</v>
      </c>
      <c r="E134" s="485">
        <f t="shared" si="17"/>
        <v>27107</v>
      </c>
      <c r="F134" s="486">
        <f t="shared" si="18"/>
        <v>194593.5</v>
      </c>
      <c r="G134" s="486">
        <f t="shared" si="19"/>
        <v>208147</v>
      </c>
      <c r="H134" s="487">
        <f t="shared" si="22"/>
        <v>51105.77684700863</v>
      </c>
      <c r="I134" s="543">
        <f t="shared" si="23"/>
        <v>51105.77684700863</v>
      </c>
      <c r="J134" s="479">
        <f t="shared" si="24"/>
        <v>0</v>
      </c>
      <c r="K134" s="479"/>
      <c r="L134" s="488"/>
      <c r="M134" s="479">
        <f t="shared" si="25"/>
        <v>0</v>
      </c>
      <c r="N134" s="488"/>
      <c r="O134" s="479">
        <f t="shared" si="26"/>
        <v>0</v>
      </c>
      <c r="P134" s="479">
        <f t="shared" si="27"/>
        <v>0</v>
      </c>
    </row>
    <row r="135" spans="2:16" ht="12.5">
      <c r="B135" s="160" t="str">
        <f t="shared" si="16"/>
        <v/>
      </c>
      <c r="C135" s="473">
        <f>IF(D93="","-",+C134+1)</f>
        <v>2054</v>
      </c>
      <c r="D135" s="347">
        <f>IF(F134+SUM(E$99:E134)=D$92,F134,D$92-SUM(E$99:E134))</f>
        <v>194593.5</v>
      </c>
      <c r="E135" s="485">
        <f t="shared" si="17"/>
        <v>27107</v>
      </c>
      <c r="F135" s="486">
        <f t="shared" si="18"/>
        <v>167486.5</v>
      </c>
      <c r="G135" s="486">
        <f t="shared" si="19"/>
        <v>181040</v>
      </c>
      <c r="H135" s="487">
        <f t="shared" si="22"/>
        <v>47980.414271560207</v>
      </c>
      <c r="I135" s="543">
        <f t="shared" si="23"/>
        <v>47980.414271560207</v>
      </c>
      <c r="J135" s="479">
        <f t="shared" si="24"/>
        <v>0</v>
      </c>
      <c r="K135" s="479"/>
      <c r="L135" s="488"/>
      <c r="M135" s="479">
        <f t="shared" si="25"/>
        <v>0</v>
      </c>
      <c r="N135" s="488"/>
      <c r="O135" s="479">
        <f t="shared" si="26"/>
        <v>0</v>
      </c>
      <c r="P135" s="479">
        <f t="shared" si="27"/>
        <v>0</v>
      </c>
    </row>
    <row r="136" spans="2:16" ht="12.5">
      <c r="B136" s="160" t="str">
        <f t="shared" si="16"/>
        <v/>
      </c>
      <c r="C136" s="473">
        <f>IF(D93="","-",+C135+1)</f>
        <v>2055</v>
      </c>
      <c r="D136" s="347">
        <f>IF(F135+SUM(E$99:E135)=D$92,F135,D$92-SUM(E$99:E135))</f>
        <v>167486.5</v>
      </c>
      <c r="E136" s="485">
        <f t="shared" si="17"/>
        <v>27107</v>
      </c>
      <c r="F136" s="486">
        <f t="shared" si="18"/>
        <v>140379.5</v>
      </c>
      <c r="G136" s="486">
        <f t="shared" si="19"/>
        <v>153933</v>
      </c>
      <c r="H136" s="487">
        <f t="shared" si="22"/>
        <v>44855.051696111783</v>
      </c>
      <c r="I136" s="543">
        <f t="shared" si="23"/>
        <v>44855.051696111783</v>
      </c>
      <c r="J136" s="479">
        <f t="shared" si="24"/>
        <v>0</v>
      </c>
      <c r="K136" s="479"/>
      <c r="L136" s="488"/>
      <c r="M136" s="479">
        <f t="shared" si="25"/>
        <v>0</v>
      </c>
      <c r="N136" s="488"/>
      <c r="O136" s="479">
        <f t="shared" si="26"/>
        <v>0</v>
      </c>
      <c r="P136" s="479">
        <f t="shared" si="27"/>
        <v>0</v>
      </c>
    </row>
    <row r="137" spans="2:16" ht="12.5">
      <c r="B137" s="160" t="str">
        <f t="shared" si="16"/>
        <v/>
      </c>
      <c r="C137" s="473">
        <f>IF(D93="","-",+C136+1)</f>
        <v>2056</v>
      </c>
      <c r="D137" s="347">
        <f>IF(F136+SUM(E$99:E136)=D$92,F136,D$92-SUM(E$99:E136))</f>
        <v>140379.5</v>
      </c>
      <c r="E137" s="485">
        <f t="shared" si="17"/>
        <v>27107</v>
      </c>
      <c r="F137" s="486">
        <f t="shared" si="18"/>
        <v>113272.5</v>
      </c>
      <c r="G137" s="486">
        <f t="shared" si="19"/>
        <v>126826</v>
      </c>
      <c r="H137" s="487">
        <f t="shared" si="22"/>
        <v>41729.689120663359</v>
      </c>
      <c r="I137" s="543">
        <f t="shared" si="23"/>
        <v>41729.689120663359</v>
      </c>
      <c r="J137" s="479">
        <f t="shared" si="24"/>
        <v>0</v>
      </c>
      <c r="K137" s="479"/>
      <c r="L137" s="488"/>
      <c r="M137" s="479">
        <f t="shared" si="25"/>
        <v>0</v>
      </c>
      <c r="N137" s="488"/>
      <c r="O137" s="479">
        <f t="shared" si="26"/>
        <v>0</v>
      </c>
      <c r="P137" s="479">
        <f t="shared" si="27"/>
        <v>0</v>
      </c>
    </row>
    <row r="138" spans="2:16" ht="12.5">
      <c r="B138" s="160" t="str">
        <f t="shared" si="16"/>
        <v/>
      </c>
      <c r="C138" s="473">
        <f>IF(D93="","-",+C137+1)</f>
        <v>2057</v>
      </c>
      <c r="D138" s="347">
        <f>IF(F137+SUM(E$99:E137)=D$92,F137,D$92-SUM(E$99:E137))</f>
        <v>113272.5</v>
      </c>
      <c r="E138" s="485">
        <f t="shared" si="17"/>
        <v>27107</v>
      </c>
      <c r="F138" s="486">
        <f t="shared" si="18"/>
        <v>86165.5</v>
      </c>
      <c r="G138" s="486">
        <f t="shared" si="19"/>
        <v>99719</v>
      </c>
      <c r="H138" s="487">
        <f t="shared" si="22"/>
        <v>38604.326545214935</v>
      </c>
      <c r="I138" s="543">
        <f t="shared" si="23"/>
        <v>38604.326545214935</v>
      </c>
      <c r="J138" s="479">
        <f t="shared" si="24"/>
        <v>0</v>
      </c>
      <c r="K138" s="479"/>
      <c r="L138" s="488"/>
      <c r="M138" s="479">
        <f t="shared" si="25"/>
        <v>0</v>
      </c>
      <c r="N138" s="488"/>
      <c r="O138" s="479">
        <f t="shared" si="26"/>
        <v>0</v>
      </c>
      <c r="P138" s="479">
        <f t="shared" si="27"/>
        <v>0</v>
      </c>
    </row>
    <row r="139" spans="2:16" ht="12.5">
      <c r="B139" s="160" t="str">
        <f t="shared" si="16"/>
        <v/>
      </c>
      <c r="C139" s="473">
        <f>IF(D93="","-",+C138+1)</f>
        <v>2058</v>
      </c>
      <c r="D139" s="347">
        <f>IF(F138+SUM(E$99:E138)=D$92,F138,D$92-SUM(E$99:E138))</f>
        <v>86165.5</v>
      </c>
      <c r="E139" s="485">
        <f t="shared" si="17"/>
        <v>27107</v>
      </c>
      <c r="F139" s="486">
        <f t="shared" si="18"/>
        <v>59058.5</v>
      </c>
      <c r="G139" s="486">
        <f t="shared" si="19"/>
        <v>72612</v>
      </c>
      <c r="H139" s="487">
        <f t="shared" si="22"/>
        <v>35478.963969766512</v>
      </c>
      <c r="I139" s="543">
        <f t="shared" si="23"/>
        <v>35478.963969766512</v>
      </c>
      <c r="J139" s="479">
        <f t="shared" si="24"/>
        <v>0</v>
      </c>
      <c r="K139" s="479"/>
      <c r="L139" s="488"/>
      <c r="M139" s="479">
        <f t="shared" si="25"/>
        <v>0</v>
      </c>
      <c r="N139" s="488"/>
      <c r="O139" s="479">
        <f t="shared" si="26"/>
        <v>0</v>
      </c>
      <c r="P139" s="479">
        <f t="shared" si="27"/>
        <v>0</v>
      </c>
    </row>
    <row r="140" spans="2:16" ht="12.5">
      <c r="B140" s="160" t="str">
        <f t="shared" si="16"/>
        <v/>
      </c>
      <c r="C140" s="473">
        <f>IF(D93="","-",+C139+1)</f>
        <v>2059</v>
      </c>
      <c r="D140" s="347">
        <f>IF(F139+SUM(E$99:E139)=D$92,F139,D$92-SUM(E$99:E139))</f>
        <v>59058.5</v>
      </c>
      <c r="E140" s="485">
        <f t="shared" si="17"/>
        <v>27107</v>
      </c>
      <c r="F140" s="486">
        <f t="shared" si="18"/>
        <v>31951.5</v>
      </c>
      <c r="G140" s="486">
        <f t="shared" si="19"/>
        <v>45505</v>
      </c>
      <c r="H140" s="487">
        <f t="shared" si="22"/>
        <v>32353.601394318091</v>
      </c>
      <c r="I140" s="543">
        <f t="shared" si="23"/>
        <v>32353.601394318091</v>
      </c>
      <c r="J140" s="479">
        <f t="shared" si="24"/>
        <v>0</v>
      </c>
      <c r="K140" s="479"/>
      <c r="L140" s="488"/>
      <c r="M140" s="479">
        <f t="shared" si="25"/>
        <v>0</v>
      </c>
      <c r="N140" s="488"/>
      <c r="O140" s="479">
        <f t="shared" si="26"/>
        <v>0</v>
      </c>
      <c r="P140" s="479">
        <f t="shared" si="27"/>
        <v>0</v>
      </c>
    </row>
    <row r="141" spans="2:16" ht="12.5">
      <c r="B141" s="160" t="str">
        <f t="shared" si="16"/>
        <v/>
      </c>
      <c r="C141" s="473">
        <f>IF(D93="","-",+C140+1)</f>
        <v>2060</v>
      </c>
      <c r="D141" s="347">
        <f>IF(F140+SUM(E$99:E140)=D$92,F140,D$92-SUM(E$99:E140))</f>
        <v>31951.5</v>
      </c>
      <c r="E141" s="485">
        <f t="shared" si="17"/>
        <v>27107</v>
      </c>
      <c r="F141" s="486">
        <f t="shared" si="18"/>
        <v>4844.5</v>
      </c>
      <c r="G141" s="486">
        <f t="shared" si="19"/>
        <v>18398</v>
      </c>
      <c r="H141" s="487">
        <f t="shared" si="22"/>
        <v>29228.238818869668</v>
      </c>
      <c r="I141" s="543">
        <f t="shared" si="23"/>
        <v>29228.238818869668</v>
      </c>
      <c r="J141" s="479">
        <f t="shared" si="24"/>
        <v>0</v>
      </c>
      <c r="K141" s="479"/>
      <c r="L141" s="488"/>
      <c r="M141" s="479">
        <f t="shared" si="25"/>
        <v>0</v>
      </c>
      <c r="N141" s="488"/>
      <c r="O141" s="479">
        <f t="shared" si="26"/>
        <v>0</v>
      </c>
      <c r="P141" s="479">
        <f t="shared" si="27"/>
        <v>0</v>
      </c>
    </row>
    <row r="142" spans="2:16" ht="12.5">
      <c r="B142" s="160" t="str">
        <f t="shared" si="16"/>
        <v/>
      </c>
      <c r="C142" s="473">
        <f>IF(D93="","-",+C141+1)</f>
        <v>2061</v>
      </c>
      <c r="D142" s="347">
        <f>IF(F141+SUM(E$99:E141)=D$92,F141,D$92-SUM(E$99:E141))</f>
        <v>4844.5</v>
      </c>
      <c r="E142" s="485">
        <f t="shared" si="17"/>
        <v>4844.5</v>
      </c>
      <c r="F142" s="486">
        <f t="shared" si="18"/>
        <v>0</v>
      </c>
      <c r="G142" s="486">
        <f t="shared" si="19"/>
        <v>2422.25</v>
      </c>
      <c r="H142" s="487">
        <f t="shared" si="22"/>
        <v>5123.7787655727279</v>
      </c>
      <c r="I142" s="543">
        <f t="shared" si="23"/>
        <v>5123.7787655727279</v>
      </c>
      <c r="J142" s="479">
        <f t="shared" si="24"/>
        <v>0</v>
      </c>
      <c r="K142" s="479"/>
      <c r="L142" s="488"/>
      <c r="M142" s="479">
        <f t="shared" si="25"/>
        <v>0</v>
      </c>
      <c r="N142" s="488"/>
      <c r="O142" s="479">
        <f t="shared" si="26"/>
        <v>0</v>
      </c>
      <c r="P142" s="479">
        <f t="shared" si="27"/>
        <v>0</v>
      </c>
    </row>
    <row r="143" spans="2:16" ht="12.5">
      <c r="B143" s="160" t="str">
        <f t="shared" si="16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17"/>
        <v>0</v>
      </c>
      <c r="F143" s="486">
        <f t="shared" si="18"/>
        <v>0</v>
      </c>
      <c r="G143" s="486">
        <f t="shared" si="19"/>
        <v>0</v>
      </c>
      <c r="H143" s="487">
        <f t="shared" si="22"/>
        <v>0</v>
      </c>
      <c r="I143" s="543">
        <f t="shared" si="23"/>
        <v>0</v>
      </c>
      <c r="J143" s="479">
        <f t="shared" si="24"/>
        <v>0</v>
      </c>
      <c r="K143" s="479"/>
      <c r="L143" s="488"/>
      <c r="M143" s="479">
        <f t="shared" si="25"/>
        <v>0</v>
      </c>
      <c r="N143" s="488"/>
      <c r="O143" s="479">
        <f t="shared" si="26"/>
        <v>0</v>
      </c>
      <c r="P143" s="479">
        <f t="shared" si="27"/>
        <v>0</v>
      </c>
    </row>
    <row r="144" spans="2:16" ht="12.5">
      <c r="B144" s="160" t="str">
        <f t="shared" si="16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17"/>
        <v>0</v>
      </c>
      <c r="F144" s="486">
        <f t="shared" si="18"/>
        <v>0</v>
      </c>
      <c r="G144" s="486">
        <f t="shared" si="19"/>
        <v>0</v>
      </c>
      <c r="H144" s="487">
        <f t="shared" si="22"/>
        <v>0</v>
      </c>
      <c r="I144" s="543">
        <f t="shared" si="23"/>
        <v>0</v>
      </c>
      <c r="J144" s="479">
        <f t="shared" si="24"/>
        <v>0</v>
      </c>
      <c r="K144" s="479"/>
      <c r="L144" s="488"/>
      <c r="M144" s="479">
        <f t="shared" si="25"/>
        <v>0</v>
      </c>
      <c r="N144" s="488"/>
      <c r="O144" s="479">
        <f t="shared" si="26"/>
        <v>0</v>
      </c>
      <c r="P144" s="479">
        <f t="shared" si="27"/>
        <v>0</v>
      </c>
    </row>
    <row r="145" spans="2:16" ht="12.5">
      <c r="B145" s="160" t="str">
        <f t="shared" si="16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17"/>
        <v>0</v>
      </c>
      <c r="F145" s="486">
        <f t="shared" si="18"/>
        <v>0</v>
      </c>
      <c r="G145" s="486">
        <f t="shared" si="19"/>
        <v>0</v>
      </c>
      <c r="H145" s="487">
        <f t="shared" si="22"/>
        <v>0</v>
      </c>
      <c r="I145" s="543">
        <f t="shared" si="23"/>
        <v>0</v>
      </c>
      <c r="J145" s="479">
        <f t="shared" si="24"/>
        <v>0</v>
      </c>
      <c r="K145" s="479"/>
      <c r="L145" s="488"/>
      <c r="M145" s="479">
        <f t="shared" si="25"/>
        <v>0</v>
      </c>
      <c r="N145" s="488"/>
      <c r="O145" s="479">
        <f t="shared" si="26"/>
        <v>0</v>
      </c>
      <c r="P145" s="479">
        <f t="shared" si="27"/>
        <v>0</v>
      </c>
    </row>
    <row r="146" spans="2:16" ht="12.5">
      <c r="B146" s="160" t="str">
        <f t="shared" si="16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17"/>
        <v>0</v>
      </c>
      <c r="F146" s="486">
        <f t="shared" si="18"/>
        <v>0</v>
      </c>
      <c r="G146" s="486">
        <f t="shared" si="19"/>
        <v>0</v>
      </c>
      <c r="H146" s="487">
        <f t="shared" si="22"/>
        <v>0</v>
      </c>
      <c r="I146" s="543">
        <f t="shared" si="23"/>
        <v>0</v>
      </c>
      <c r="J146" s="479">
        <f t="shared" si="24"/>
        <v>0</v>
      </c>
      <c r="K146" s="479"/>
      <c r="L146" s="488"/>
      <c r="M146" s="479">
        <f t="shared" si="25"/>
        <v>0</v>
      </c>
      <c r="N146" s="488"/>
      <c r="O146" s="479">
        <f t="shared" si="26"/>
        <v>0</v>
      </c>
      <c r="P146" s="479">
        <f t="shared" si="27"/>
        <v>0</v>
      </c>
    </row>
    <row r="147" spans="2:16" ht="12.5">
      <c r="B147" s="160" t="str">
        <f t="shared" si="16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17"/>
        <v>0</v>
      </c>
      <c r="F147" s="486">
        <f t="shared" si="18"/>
        <v>0</v>
      </c>
      <c r="G147" s="486">
        <f t="shared" si="19"/>
        <v>0</v>
      </c>
      <c r="H147" s="487">
        <f t="shared" si="22"/>
        <v>0</v>
      </c>
      <c r="I147" s="543">
        <f t="shared" si="23"/>
        <v>0</v>
      </c>
      <c r="J147" s="479">
        <f t="shared" si="24"/>
        <v>0</v>
      </c>
      <c r="K147" s="479"/>
      <c r="L147" s="488"/>
      <c r="M147" s="479">
        <f t="shared" si="25"/>
        <v>0</v>
      </c>
      <c r="N147" s="488"/>
      <c r="O147" s="479">
        <f t="shared" si="26"/>
        <v>0</v>
      </c>
      <c r="P147" s="479">
        <f t="shared" si="27"/>
        <v>0</v>
      </c>
    </row>
    <row r="148" spans="2:16" ht="12.5">
      <c r="B148" s="160" t="str">
        <f t="shared" si="16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17"/>
        <v>0</v>
      </c>
      <c r="F148" s="486">
        <f t="shared" si="18"/>
        <v>0</v>
      </c>
      <c r="G148" s="486">
        <f t="shared" si="19"/>
        <v>0</v>
      </c>
      <c r="H148" s="487">
        <f t="shared" si="22"/>
        <v>0</v>
      </c>
      <c r="I148" s="543">
        <f t="shared" si="23"/>
        <v>0</v>
      </c>
      <c r="J148" s="479">
        <f t="shared" si="24"/>
        <v>0</v>
      </c>
      <c r="K148" s="479"/>
      <c r="L148" s="488"/>
      <c r="M148" s="479">
        <f t="shared" si="25"/>
        <v>0</v>
      </c>
      <c r="N148" s="488"/>
      <c r="O148" s="479">
        <f t="shared" si="26"/>
        <v>0</v>
      </c>
      <c r="P148" s="479">
        <f t="shared" si="27"/>
        <v>0</v>
      </c>
    </row>
    <row r="149" spans="2:16" ht="12.5">
      <c r="B149" s="160" t="str">
        <f t="shared" si="16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17"/>
        <v>0</v>
      </c>
      <c r="F149" s="486">
        <f t="shared" si="18"/>
        <v>0</v>
      </c>
      <c r="G149" s="486">
        <f t="shared" si="19"/>
        <v>0</v>
      </c>
      <c r="H149" s="487">
        <f t="shared" si="22"/>
        <v>0</v>
      </c>
      <c r="I149" s="543">
        <f t="shared" si="23"/>
        <v>0</v>
      </c>
      <c r="J149" s="479">
        <f t="shared" si="24"/>
        <v>0</v>
      </c>
      <c r="K149" s="479"/>
      <c r="L149" s="488"/>
      <c r="M149" s="479">
        <f t="shared" si="25"/>
        <v>0</v>
      </c>
      <c r="N149" s="488"/>
      <c r="O149" s="479">
        <f t="shared" si="26"/>
        <v>0</v>
      </c>
      <c r="P149" s="479">
        <f t="shared" si="27"/>
        <v>0</v>
      </c>
    </row>
    <row r="150" spans="2:16" ht="12.5">
      <c r="B150" s="160" t="str">
        <f t="shared" si="16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17"/>
        <v>0</v>
      </c>
      <c r="F150" s="486">
        <f t="shared" si="18"/>
        <v>0</v>
      </c>
      <c r="G150" s="486">
        <f t="shared" si="19"/>
        <v>0</v>
      </c>
      <c r="H150" s="487">
        <f t="shared" si="22"/>
        <v>0</v>
      </c>
      <c r="I150" s="543">
        <f t="shared" si="23"/>
        <v>0</v>
      </c>
      <c r="J150" s="479">
        <f t="shared" si="24"/>
        <v>0</v>
      </c>
      <c r="K150" s="479"/>
      <c r="L150" s="488"/>
      <c r="M150" s="479">
        <f t="shared" si="25"/>
        <v>0</v>
      </c>
      <c r="N150" s="488"/>
      <c r="O150" s="479">
        <f t="shared" si="26"/>
        <v>0</v>
      </c>
      <c r="P150" s="479">
        <f t="shared" si="27"/>
        <v>0</v>
      </c>
    </row>
    <row r="151" spans="2:16" ht="12.5">
      <c r="B151" s="160" t="str">
        <f t="shared" si="16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17"/>
        <v>0</v>
      </c>
      <c r="F151" s="486">
        <f t="shared" si="18"/>
        <v>0</v>
      </c>
      <c r="G151" s="486">
        <f t="shared" si="19"/>
        <v>0</v>
      </c>
      <c r="H151" s="487">
        <f t="shared" si="22"/>
        <v>0</v>
      </c>
      <c r="I151" s="543">
        <f t="shared" si="23"/>
        <v>0</v>
      </c>
      <c r="J151" s="479">
        <f t="shared" si="24"/>
        <v>0</v>
      </c>
      <c r="K151" s="479"/>
      <c r="L151" s="488"/>
      <c r="M151" s="479">
        <f t="shared" si="25"/>
        <v>0</v>
      </c>
      <c r="N151" s="488"/>
      <c r="O151" s="479">
        <f t="shared" si="26"/>
        <v>0</v>
      </c>
      <c r="P151" s="479">
        <f t="shared" si="27"/>
        <v>0</v>
      </c>
    </row>
    <row r="152" spans="2:16" ht="12.5">
      <c r="B152" s="160" t="str">
        <f t="shared" si="16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17"/>
        <v>0</v>
      </c>
      <c r="F152" s="486">
        <f t="shared" si="18"/>
        <v>0</v>
      </c>
      <c r="G152" s="486">
        <f t="shared" si="19"/>
        <v>0</v>
      </c>
      <c r="H152" s="487">
        <f t="shared" si="22"/>
        <v>0</v>
      </c>
      <c r="I152" s="543">
        <f t="shared" si="23"/>
        <v>0</v>
      </c>
      <c r="J152" s="479">
        <f t="shared" si="24"/>
        <v>0</v>
      </c>
      <c r="K152" s="479"/>
      <c r="L152" s="488"/>
      <c r="M152" s="479">
        <f t="shared" si="25"/>
        <v>0</v>
      </c>
      <c r="N152" s="488"/>
      <c r="O152" s="479">
        <f t="shared" si="26"/>
        <v>0</v>
      </c>
      <c r="P152" s="479">
        <f t="shared" si="27"/>
        <v>0</v>
      </c>
    </row>
    <row r="153" spans="2:16" ht="12.5">
      <c r="B153" s="160" t="str">
        <f t="shared" si="16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17"/>
        <v>0</v>
      </c>
      <c r="F153" s="486">
        <f t="shared" si="18"/>
        <v>0</v>
      </c>
      <c r="G153" s="486">
        <f t="shared" si="19"/>
        <v>0</v>
      </c>
      <c r="H153" s="487">
        <f t="shared" si="22"/>
        <v>0</v>
      </c>
      <c r="I153" s="543">
        <f t="shared" si="23"/>
        <v>0</v>
      </c>
      <c r="J153" s="479">
        <f t="shared" si="24"/>
        <v>0</v>
      </c>
      <c r="K153" s="479"/>
      <c r="L153" s="488"/>
      <c r="M153" s="479">
        <f t="shared" si="25"/>
        <v>0</v>
      </c>
      <c r="N153" s="488"/>
      <c r="O153" s="479">
        <f t="shared" si="26"/>
        <v>0</v>
      </c>
      <c r="P153" s="479">
        <f t="shared" si="27"/>
        <v>0</v>
      </c>
    </row>
    <row r="154" spans="2:16" ht="13" thickBot="1">
      <c r="B154" s="160" t="str">
        <f t="shared" si="16"/>
        <v/>
      </c>
      <c r="C154" s="490">
        <f>IF(D93="","-",+C153+1)</f>
        <v>2073</v>
      </c>
      <c r="D154" s="544">
        <f>IF(F153+SUM(E$99:E153)=D$92,F153,D$92-SUM(E$99:E153))</f>
        <v>0</v>
      </c>
      <c r="E154" s="492">
        <f t="shared" si="17"/>
        <v>0</v>
      </c>
      <c r="F154" s="491">
        <f t="shared" si="18"/>
        <v>0</v>
      </c>
      <c r="G154" s="491">
        <f t="shared" si="19"/>
        <v>0</v>
      </c>
      <c r="H154" s="614">
        <f t="shared" ref="H154" si="28">+J$94*G154+E154</f>
        <v>0</v>
      </c>
      <c r="I154" s="615">
        <f t="shared" si="20"/>
        <v>0</v>
      </c>
      <c r="J154" s="496">
        <f t="shared" si="24"/>
        <v>0</v>
      </c>
      <c r="K154" s="479"/>
      <c r="L154" s="495"/>
      <c r="M154" s="496">
        <f t="shared" si="25"/>
        <v>0</v>
      </c>
      <c r="N154" s="495"/>
      <c r="O154" s="496">
        <f t="shared" si="26"/>
        <v>0</v>
      </c>
      <c r="P154" s="496">
        <f t="shared" si="27"/>
        <v>0</v>
      </c>
    </row>
    <row r="155" spans="2:16" ht="12.5">
      <c r="C155" s="347" t="s">
        <v>77</v>
      </c>
      <c r="D155" s="348"/>
      <c r="E155" s="348">
        <f>SUM(E99:E154)</f>
        <v>1165593</v>
      </c>
      <c r="F155" s="348"/>
      <c r="G155" s="348"/>
      <c r="H155" s="348">
        <f>SUM(H99:H154)</f>
        <v>4023580.1061081085</v>
      </c>
      <c r="I155" s="348">
        <f>SUM(I99:I154)</f>
        <v>4023580.1061081085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66" zoomScale="80" zoomScaleNormal="80" workbookViewId="0">
      <selection activeCell="D92" sqref="D92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24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171175.11640159666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171175.11640159666</v>
      </c>
      <c r="O6" s="233"/>
      <c r="P6" s="233"/>
    </row>
    <row r="7" spans="1:16" ht="13.5" thickBot="1">
      <c r="C7" s="432" t="s">
        <v>46</v>
      </c>
      <c r="D7" s="600" t="s">
        <v>307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308</v>
      </c>
      <c r="E9" s="578" t="s">
        <v>309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1345383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5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31287.976744186046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2018</v>
      </c>
      <c r="D17" s="585">
        <v>0</v>
      </c>
      <c r="E17" s="609">
        <v>13511.111111111109</v>
      </c>
      <c r="F17" s="585">
        <v>1202488.888888889</v>
      </c>
      <c r="G17" s="609">
        <v>94880.774589956171</v>
      </c>
      <c r="H17" s="588">
        <v>94880.774589956171</v>
      </c>
      <c r="I17" s="476">
        <f>H17-G17</f>
        <v>0</v>
      </c>
      <c r="J17" s="476"/>
      <c r="K17" s="555">
        <f>+G17</f>
        <v>94880.774589956171</v>
      </c>
      <c r="L17" s="478">
        <f t="shared" ref="L17:L72" si="0">IF(K17&lt;&gt;0,+G17-K17,0)</f>
        <v>0</v>
      </c>
      <c r="M17" s="555">
        <f>+H17</f>
        <v>94880.774589956171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2019</v>
      </c>
      <c r="D18" s="585">
        <v>1202488.888888889</v>
      </c>
      <c r="E18" s="586">
        <v>27022.222222222223</v>
      </c>
      <c r="F18" s="585">
        <v>1175466.6666666667</v>
      </c>
      <c r="G18" s="586">
        <v>187933.0174163428</v>
      </c>
      <c r="H18" s="588">
        <v>187933.0174163428</v>
      </c>
      <c r="I18" s="476">
        <f>H18-G18</f>
        <v>0</v>
      </c>
      <c r="J18" s="476"/>
      <c r="K18" s="479">
        <f>+G18</f>
        <v>187933.0174163428</v>
      </c>
      <c r="L18" s="479">
        <f t="shared" si="0"/>
        <v>0</v>
      </c>
      <c r="M18" s="479">
        <f>+H18</f>
        <v>187933.0174163428</v>
      </c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2020</v>
      </c>
      <c r="D19" s="585">
        <v>1304405.6666666667</v>
      </c>
      <c r="E19" s="586">
        <v>32022.357142857141</v>
      </c>
      <c r="F19" s="585">
        <v>1272383.3095238097</v>
      </c>
      <c r="G19" s="586">
        <v>171175.11640159666</v>
      </c>
      <c r="H19" s="588">
        <v>171175.11640159666</v>
      </c>
      <c r="I19" s="476">
        <f t="shared" ref="I19:I71" si="3">H19-G19</f>
        <v>0</v>
      </c>
      <c r="J19" s="476"/>
      <c r="K19" s="479">
        <f>+G19</f>
        <v>171175.11640159666</v>
      </c>
      <c r="L19" s="479">
        <f t="shared" ref="L19" si="4">IF(K19&lt;&gt;0,+G19-K19,0)</f>
        <v>0</v>
      </c>
      <c r="M19" s="479">
        <f>+H19</f>
        <v>171175.11640159666</v>
      </c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5">IF(D20=F19,"","IU")</f>
        <v>IU</v>
      </c>
      <c r="C20" s="473">
        <f>IF(D11="","-",+C19+1)</f>
        <v>2021</v>
      </c>
      <c r="D20" s="484">
        <f>IF(F19+SUM(E$17:E19)=D$10,F19,D$10-SUM(E$17:E19))</f>
        <v>1272827.3095238095</v>
      </c>
      <c r="E20" s="485">
        <f t="shared" ref="E20:E71" si="6">IF(+I$14&lt;F19,I$14,D20)</f>
        <v>31287.976744186046</v>
      </c>
      <c r="F20" s="486">
        <f t="shared" ref="F20:F71" si="7">+D20-E20</f>
        <v>1241539.3327796233</v>
      </c>
      <c r="G20" s="487">
        <f t="shared" ref="G20:G71" si="8">(D20+F20)/2*I$12+E20</f>
        <v>175934.88242189886</v>
      </c>
      <c r="H20" s="456">
        <f t="shared" ref="H20:H71" si="9">+(D20+F20)/2*I$13+E20</f>
        <v>175934.88242189886</v>
      </c>
      <c r="I20" s="476">
        <f t="shared" si="3"/>
        <v>0</v>
      </c>
      <c r="J20" s="476"/>
      <c r="K20" s="488"/>
      <c r="L20" s="479">
        <f t="shared" si="0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5"/>
        <v/>
      </c>
      <c r="C21" s="473">
        <f>IF(D11="","-",+C20+1)</f>
        <v>2022</v>
      </c>
      <c r="D21" s="484">
        <f>IF(F20+SUM(E$17:E20)=D$10,F20,D$10-SUM(E$17:E20))</f>
        <v>1241539.3327796233</v>
      </c>
      <c r="E21" s="485">
        <f t="shared" si="6"/>
        <v>31287.976744186046</v>
      </c>
      <c r="F21" s="486">
        <f t="shared" si="7"/>
        <v>1210251.3560354372</v>
      </c>
      <c r="G21" s="487">
        <f t="shared" si="8"/>
        <v>172335.00248011222</v>
      </c>
      <c r="H21" s="456">
        <f t="shared" si="9"/>
        <v>172335.00248011222</v>
      </c>
      <c r="I21" s="476">
        <f t="shared" si="3"/>
        <v>0</v>
      </c>
      <c r="J21" s="476"/>
      <c r="K21" s="488"/>
      <c r="L21" s="479">
        <f t="shared" si="0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5"/>
        <v/>
      </c>
      <c r="C22" s="473">
        <f>IF(D11="","-",+C21+1)</f>
        <v>2023</v>
      </c>
      <c r="D22" s="484">
        <f>IF(F21+SUM(E$17:E21)=D$10,F21,D$10-SUM(E$17:E21))</f>
        <v>1210251.3560354372</v>
      </c>
      <c r="E22" s="485">
        <f t="shared" si="6"/>
        <v>31287.976744186046</v>
      </c>
      <c r="F22" s="486">
        <f t="shared" si="7"/>
        <v>1178963.3792912511</v>
      </c>
      <c r="G22" s="487">
        <f t="shared" si="8"/>
        <v>168735.12253832561</v>
      </c>
      <c r="H22" s="456">
        <f t="shared" si="9"/>
        <v>168735.12253832561</v>
      </c>
      <c r="I22" s="476">
        <f t="shared" si="3"/>
        <v>0</v>
      </c>
      <c r="J22" s="476"/>
      <c r="K22" s="488"/>
      <c r="L22" s="479">
        <f t="shared" si="0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5"/>
        <v/>
      </c>
      <c r="C23" s="473">
        <f>IF(D11="","-",+C22+1)</f>
        <v>2024</v>
      </c>
      <c r="D23" s="484">
        <f>IF(F22+SUM(E$17:E22)=D$10,F22,D$10-SUM(E$17:E22))</f>
        <v>1178963.3792912511</v>
      </c>
      <c r="E23" s="485">
        <f t="shared" si="6"/>
        <v>31287.976744186046</v>
      </c>
      <c r="F23" s="486">
        <f t="shared" si="7"/>
        <v>1147675.4025470649</v>
      </c>
      <c r="G23" s="487">
        <f t="shared" si="8"/>
        <v>165135.24259653897</v>
      </c>
      <c r="H23" s="456">
        <f t="shared" si="9"/>
        <v>165135.24259653897</v>
      </c>
      <c r="I23" s="476">
        <f t="shared" si="3"/>
        <v>0</v>
      </c>
      <c r="J23" s="476"/>
      <c r="K23" s="488"/>
      <c r="L23" s="479">
        <f t="shared" si="0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5"/>
        <v/>
      </c>
      <c r="C24" s="473">
        <f>IF(D11="","-",+C23+1)</f>
        <v>2025</v>
      </c>
      <c r="D24" s="484">
        <f>IF(F23+SUM(E$17:E23)=D$10,F23,D$10-SUM(E$17:E23))</f>
        <v>1147675.4025470649</v>
      </c>
      <c r="E24" s="485">
        <f t="shared" si="6"/>
        <v>31287.976744186046</v>
      </c>
      <c r="F24" s="486">
        <f t="shared" si="7"/>
        <v>1116387.4258028788</v>
      </c>
      <c r="G24" s="487">
        <f t="shared" si="8"/>
        <v>161535.36265475233</v>
      </c>
      <c r="H24" s="456">
        <f t="shared" si="9"/>
        <v>161535.36265475233</v>
      </c>
      <c r="I24" s="476">
        <f t="shared" si="3"/>
        <v>0</v>
      </c>
      <c r="J24" s="476"/>
      <c r="K24" s="488"/>
      <c r="L24" s="479">
        <f t="shared" si="0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5"/>
        <v/>
      </c>
      <c r="C25" s="473">
        <f>IF(D11="","-",+C24+1)</f>
        <v>2026</v>
      </c>
      <c r="D25" s="484">
        <f>IF(F24+SUM(E$17:E24)=D$10,F24,D$10-SUM(E$17:E24))</f>
        <v>1116387.4258028788</v>
      </c>
      <c r="E25" s="485">
        <f t="shared" si="6"/>
        <v>31287.976744186046</v>
      </c>
      <c r="F25" s="486">
        <f t="shared" si="7"/>
        <v>1085099.4490586927</v>
      </c>
      <c r="G25" s="487">
        <f t="shared" si="8"/>
        <v>157935.48271296569</v>
      </c>
      <c r="H25" s="456">
        <f t="shared" si="9"/>
        <v>157935.48271296569</v>
      </c>
      <c r="I25" s="476">
        <f t="shared" si="3"/>
        <v>0</v>
      </c>
      <c r="J25" s="476"/>
      <c r="K25" s="488"/>
      <c r="L25" s="479">
        <f t="shared" si="0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5"/>
        <v/>
      </c>
      <c r="C26" s="473">
        <f>IF(D11="","-",+C25+1)</f>
        <v>2027</v>
      </c>
      <c r="D26" s="484">
        <f>IF(F25+SUM(E$17:E25)=D$10,F25,D$10-SUM(E$17:E25))</f>
        <v>1085099.4490586927</v>
      </c>
      <c r="E26" s="485">
        <f t="shared" si="6"/>
        <v>31287.976744186046</v>
      </c>
      <c r="F26" s="486">
        <f t="shared" si="7"/>
        <v>1053811.4723145065</v>
      </c>
      <c r="G26" s="487">
        <f t="shared" si="8"/>
        <v>154335.60277117908</v>
      </c>
      <c r="H26" s="456">
        <f t="shared" si="9"/>
        <v>154335.60277117908</v>
      </c>
      <c r="I26" s="476">
        <f t="shared" si="3"/>
        <v>0</v>
      </c>
      <c r="J26" s="476"/>
      <c r="K26" s="488"/>
      <c r="L26" s="479">
        <f t="shared" si="0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5"/>
        <v/>
      </c>
      <c r="C27" s="473">
        <f>IF(D11="","-",+C26+1)</f>
        <v>2028</v>
      </c>
      <c r="D27" s="484">
        <f>IF(F26+SUM(E$17:E26)=D$10,F26,D$10-SUM(E$17:E26))</f>
        <v>1053811.4723145065</v>
      </c>
      <c r="E27" s="485">
        <f t="shared" si="6"/>
        <v>31287.976744186046</v>
      </c>
      <c r="F27" s="486">
        <f t="shared" si="7"/>
        <v>1022523.4955703205</v>
      </c>
      <c r="G27" s="487">
        <f t="shared" si="8"/>
        <v>150735.72282939244</v>
      </c>
      <c r="H27" s="456">
        <f t="shared" si="9"/>
        <v>150735.72282939244</v>
      </c>
      <c r="I27" s="476">
        <f t="shared" si="3"/>
        <v>0</v>
      </c>
      <c r="J27" s="476"/>
      <c r="K27" s="488"/>
      <c r="L27" s="479">
        <f t="shared" si="0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5"/>
        <v/>
      </c>
      <c r="C28" s="473">
        <f>IF(D11="","-",+C27+1)</f>
        <v>2029</v>
      </c>
      <c r="D28" s="484">
        <f>IF(F27+SUM(E$17:E27)=D$10,F27,D$10-SUM(E$17:E27))</f>
        <v>1022523.4955703205</v>
      </c>
      <c r="E28" s="485">
        <f t="shared" si="6"/>
        <v>31287.976744186046</v>
      </c>
      <c r="F28" s="486">
        <f t="shared" si="7"/>
        <v>991235.5188261345</v>
      </c>
      <c r="G28" s="487">
        <f t="shared" si="8"/>
        <v>147135.84288760583</v>
      </c>
      <c r="H28" s="456">
        <f t="shared" si="9"/>
        <v>147135.84288760583</v>
      </c>
      <c r="I28" s="476">
        <f t="shared" si="3"/>
        <v>0</v>
      </c>
      <c r="J28" s="476"/>
      <c r="K28" s="488"/>
      <c r="L28" s="479">
        <f t="shared" si="0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5"/>
        <v/>
      </c>
      <c r="C29" s="473">
        <f>IF(D11="","-",+C28+1)</f>
        <v>2030</v>
      </c>
      <c r="D29" s="484">
        <f>IF(F28+SUM(E$17:E28)=D$10,F28,D$10-SUM(E$17:E28))</f>
        <v>991235.5188261345</v>
      </c>
      <c r="E29" s="485">
        <f t="shared" si="6"/>
        <v>31287.976744186046</v>
      </c>
      <c r="F29" s="486">
        <f t="shared" si="7"/>
        <v>959947.54208194849</v>
      </c>
      <c r="G29" s="487">
        <f t="shared" si="8"/>
        <v>143535.96294581919</v>
      </c>
      <c r="H29" s="456">
        <f t="shared" si="9"/>
        <v>143535.96294581919</v>
      </c>
      <c r="I29" s="476">
        <f t="shared" si="3"/>
        <v>0</v>
      </c>
      <c r="J29" s="476"/>
      <c r="K29" s="488"/>
      <c r="L29" s="479">
        <f t="shared" si="0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5"/>
        <v/>
      </c>
      <c r="C30" s="473">
        <f>IF(D11="","-",+C29+1)</f>
        <v>2031</v>
      </c>
      <c r="D30" s="484">
        <f>IF(F29+SUM(E$17:E29)=D$10,F29,D$10-SUM(E$17:E29))</f>
        <v>959947.54208194849</v>
      </c>
      <c r="E30" s="485">
        <f t="shared" si="6"/>
        <v>31287.976744186046</v>
      </c>
      <c r="F30" s="486">
        <f t="shared" si="7"/>
        <v>928659.56533776247</v>
      </c>
      <c r="G30" s="487">
        <f t="shared" si="8"/>
        <v>139936.08300403261</v>
      </c>
      <c r="H30" s="456">
        <f t="shared" si="9"/>
        <v>139936.08300403261</v>
      </c>
      <c r="I30" s="476">
        <f t="shared" si="3"/>
        <v>0</v>
      </c>
      <c r="J30" s="476"/>
      <c r="K30" s="488"/>
      <c r="L30" s="479">
        <f t="shared" si="0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5"/>
        <v/>
      </c>
      <c r="C31" s="473">
        <f>IF(D11="","-",+C30+1)</f>
        <v>2032</v>
      </c>
      <c r="D31" s="484">
        <f>IF(F30+SUM(E$17:E30)=D$10,F30,D$10-SUM(E$17:E30))</f>
        <v>928659.56533776247</v>
      </c>
      <c r="E31" s="485">
        <f t="shared" si="6"/>
        <v>31287.976744186046</v>
      </c>
      <c r="F31" s="486">
        <f t="shared" si="7"/>
        <v>897371.58859357645</v>
      </c>
      <c r="G31" s="487">
        <f t="shared" si="8"/>
        <v>136336.20306224597</v>
      </c>
      <c r="H31" s="456">
        <f t="shared" si="9"/>
        <v>136336.20306224597</v>
      </c>
      <c r="I31" s="476">
        <f t="shared" si="3"/>
        <v>0</v>
      </c>
      <c r="J31" s="476"/>
      <c r="K31" s="488"/>
      <c r="L31" s="479">
        <f t="shared" si="0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5"/>
        <v/>
      </c>
      <c r="C32" s="473">
        <f>IF(D11="","-",+C31+1)</f>
        <v>2033</v>
      </c>
      <c r="D32" s="484">
        <f>IF(F31+SUM(E$17:E31)=D$10,F31,D$10-SUM(E$17:E31))</f>
        <v>897371.58859357645</v>
      </c>
      <c r="E32" s="485">
        <f t="shared" si="6"/>
        <v>31287.976744186046</v>
      </c>
      <c r="F32" s="486">
        <f t="shared" si="7"/>
        <v>866083.61184939044</v>
      </c>
      <c r="G32" s="487">
        <f t="shared" si="8"/>
        <v>132736.32312045939</v>
      </c>
      <c r="H32" s="456">
        <f t="shared" si="9"/>
        <v>132736.32312045939</v>
      </c>
      <c r="I32" s="476">
        <f t="shared" si="3"/>
        <v>0</v>
      </c>
      <c r="J32" s="476"/>
      <c r="K32" s="488"/>
      <c r="L32" s="479">
        <f t="shared" si="0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5"/>
        <v/>
      </c>
      <c r="C33" s="473">
        <f>IF(D11="","-",+C32+1)</f>
        <v>2034</v>
      </c>
      <c r="D33" s="484">
        <f>IF(F32+SUM(E$17:E32)=D$10,F32,D$10-SUM(E$17:E32))</f>
        <v>866083.61184939044</v>
      </c>
      <c r="E33" s="485">
        <f t="shared" si="6"/>
        <v>31287.976744186046</v>
      </c>
      <c r="F33" s="486">
        <f t="shared" si="7"/>
        <v>834795.63510520442</v>
      </c>
      <c r="G33" s="487">
        <f t="shared" si="8"/>
        <v>129136.44317867274</v>
      </c>
      <c r="H33" s="456">
        <f t="shared" si="9"/>
        <v>129136.44317867274</v>
      </c>
      <c r="I33" s="476">
        <f t="shared" si="3"/>
        <v>0</v>
      </c>
      <c r="J33" s="476"/>
      <c r="K33" s="488"/>
      <c r="L33" s="479">
        <f t="shared" si="0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5"/>
        <v/>
      </c>
      <c r="C34" s="473">
        <f>IF(D11="","-",+C33+1)</f>
        <v>2035</v>
      </c>
      <c r="D34" s="484">
        <f>IF(F33+SUM(E$17:E33)=D$10,F33,D$10-SUM(E$17:E33))</f>
        <v>834795.63510520442</v>
      </c>
      <c r="E34" s="485">
        <f t="shared" si="6"/>
        <v>31287.976744186046</v>
      </c>
      <c r="F34" s="486">
        <f t="shared" si="7"/>
        <v>803507.6583610184</v>
      </c>
      <c r="G34" s="487">
        <f t="shared" si="8"/>
        <v>125536.56323688614</v>
      </c>
      <c r="H34" s="456">
        <f t="shared" si="9"/>
        <v>125536.56323688614</v>
      </c>
      <c r="I34" s="476">
        <f t="shared" si="3"/>
        <v>0</v>
      </c>
      <c r="J34" s="476"/>
      <c r="K34" s="488"/>
      <c r="L34" s="479">
        <f t="shared" si="0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5"/>
        <v/>
      </c>
      <c r="C35" s="473">
        <f>IF(D11="","-",+C34+1)</f>
        <v>2036</v>
      </c>
      <c r="D35" s="484">
        <f>IF(F34+SUM(E$17:E34)=D$10,F34,D$10-SUM(E$17:E34))</f>
        <v>803507.6583610184</v>
      </c>
      <c r="E35" s="485">
        <f t="shared" si="6"/>
        <v>31287.976744186046</v>
      </c>
      <c r="F35" s="486">
        <f t="shared" si="7"/>
        <v>772219.68161683239</v>
      </c>
      <c r="G35" s="487">
        <f t="shared" si="8"/>
        <v>121936.6832950995</v>
      </c>
      <c r="H35" s="456">
        <f t="shared" si="9"/>
        <v>121936.6832950995</v>
      </c>
      <c r="I35" s="476">
        <f t="shared" si="3"/>
        <v>0</v>
      </c>
      <c r="J35" s="476"/>
      <c r="K35" s="488"/>
      <c r="L35" s="479">
        <f t="shared" si="0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5"/>
        <v/>
      </c>
      <c r="C36" s="473">
        <f>IF(D11="","-",+C35+1)</f>
        <v>2037</v>
      </c>
      <c r="D36" s="484">
        <f>IF(F35+SUM(E$17:E35)=D$10,F35,D$10-SUM(E$17:E35))</f>
        <v>772219.68161683239</v>
      </c>
      <c r="E36" s="485">
        <f t="shared" si="6"/>
        <v>31287.976744186046</v>
      </c>
      <c r="F36" s="486">
        <f t="shared" si="7"/>
        <v>740931.70487264637</v>
      </c>
      <c r="G36" s="487">
        <f t="shared" si="8"/>
        <v>118336.80335331291</v>
      </c>
      <c r="H36" s="456">
        <f t="shared" si="9"/>
        <v>118336.80335331291</v>
      </c>
      <c r="I36" s="476">
        <f t="shared" si="3"/>
        <v>0</v>
      </c>
      <c r="J36" s="476"/>
      <c r="K36" s="488"/>
      <c r="L36" s="479">
        <f t="shared" si="0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5"/>
        <v/>
      </c>
      <c r="C37" s="473">
        <f>IF(D11="","-",+C36+1)</f>
        <v>2038</v>
      </c>
      <c r="D37" s="484">
        <f>IF(F36+SUM(E$17:E36)=D$10,F36,D$10-SUM(E$17:E36))</f>
        <v>740931.70487264637</v>
      </c>
      <c r="E37" s="485">
        <f t="shared" si="6"/>
        <v>31287.976744186046</v>
      </c>
      <c r="F37" s="486">
        <f t="shared" si="7"/>
        <v>709643.72812846035</v>
      </c>
      <c r="G37" s="487">
        <f t="shared" si="8"/>
        <v>114736.92341152628</v>
      </c>
      <c r="H37" s="456">
        <f t="shared" si="9"/>
        <v>114736.92341152628</v>
      </c>
      <c r="I37" s="476">
        <f t="shared" si="3"/>
        <v>0</v>
      </c>
      <c r="J37" s="476"/>
      <c r="K37" s="488"/>
      <c r="L37" s="479">
        <f t="shared" si="0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5"/>
        <v/>
      </c>
      <c r="C38" s="473">
        <f>IF(D11="","-",+C37+1)</f>
        <v>2039</v>
      </c>
      <c r="D38" s="484">
        <f>IF(F37+SUM(E$17:E37)=D$10,F37,D$10-SUM(E$17:E37))</f>
        <v>709643.72812846035</v>
      </c>
      <c r="E38" s="485">
        <f t="shared" si="6"/>
        <v>31287.976744186046</v>
      </c>
      <c r="F38" s="486">
        <f t="shared" si="7"/>
        <v>678355.75138427434</v>
      </c>
      <c r="G38" s="487">
        <f t="shared" si="8"/>
        <v>111137.04346973967</v>
      </c>
      <c r="H38" s="456">
        <f t="shared" si="9"/>
        <v>111137.04346973967</v>
      </c>
      <c r="I38" s="476">
        <f t="shared" si="3"/>
        <v>0</v>
      </c>
      <c r="J38" s="476"/>
      <c r="K38" s="488"/>
      <c r="L38" s="479">
        <f t="shared" si="0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5"/>
        <v/>
      </c>
      <c r="C39" s="473">
        <f>IF(D11="","-",+C38+1)</f>
        <v>2040</v>
      </c>
      <c r="D39" s="484">
        <f>IF(F38+SUM(E$17:E38)=D$10,F38,D$10-SUM(E$17:E38))</f>
        <v>678355.75138427434</v>
      </c>
      <c r="E39" s="485">
        <f t="shared" si="6"/>
        <v>31287.976744186046</v>
      </c>
      <c r="F39" s="486">
        <f t="shared" si="7"/>
        <v>647067.77464008832</v>
      </c>
      <c r="G39" s="487">
        <f t="shared" si="8"/>
        <v>107537.16352795305</v>
      </c>
      <c r="H39" s="456">
        <f t="shared" si="9"/>
        <v>107537.16352795305</v>
      </c>
      <c r="I39" s="476">
        <f t="shared" si="3"/>
        <v>0</v>
      </c>
      <c r="J39" s="476"/>
      <c r="K39" s="488"/>
      <c r="L39" s="479">
        <f t="shared" si="0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5"/>
        <v/>
      </c>
      <c r="C40" s="473">
        <f>IF(D11="","-",+C39+1)</f>
        <v>2041</v>
      </c>
      <c r="D40" s="484">
        <f>IF(F39+SUM(E$17:E39)=D$10,F39,D$10-SUM(E$17:E39))</f>
        <v>647067.77464008832</v>
      </c>
      <c r="E40" s="485">
        <f t="shared" si="6"/>
        <v>31287.976744186046</v>
      </c>
      <c r="F40" s="486">
        <f t="shared" si="7"/>
        <v>615779.7978959023</v>
      </c>
      <c r="G40" s="487">
        <f t="shared" si="8"/>
        <v>103937.28358616644</v>
      </c>
      <c r="H40" s="456">
        <f t="shared" si="9"/>
        <v>103937.28358616644</v>
      </c>
      <c r="I40" s="476">
        <f t="shared" si="3"/>
        <v>0</v>
      </c>
      <c r="J40" s="476"/>
      <c r="K40" s="488"/>
      <c r="L40" s="479">
        <f t="shared" si="0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5"/>
        <v/>
      </c>
      <c r="C41" s="473">
        <f>IF(D11="","-",+C40+1)</f>
        <v>2042</v>
      </c>
      <c r="D41" s="484">
        <f>IF(F40+SUM(E$17:E40)=D$10,F40,D$10-SUM(E$17:E40))</f>
        <v>615779.7978959023</v>
      </c>
      <c r="E41" s="485">
        <f t="shared" si="6"/>
        <v>31287.976744186046</v>
      </c>
      <c r="F41" s="486">
        <f t="shared" si="7"/>
        <v>584491.82115171629</v>
      </c>
      <c r="G41" s="487">
        <f t="shared" si="8"/>
        <v>100337.40364437981</v>
      </c>
      <c r="H41" s="456">
        <f t="shared" si="9"/>
        <v>100337.40364437981</v>
      </c>
      <c r="I41" s="476">
        <f t="shared" si="3"/>
        <v>0</v>
      </c>
      <c r="J41" s="476"/>
      <c r="K41" s="488"/>
      <c r="L41" s="479">
        <f t="shared" si="0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5"/>
        <v/>
      </c>
      <c r="C42" s="473">
        <f>IF(D11="","-",+C41+1)</f>
        <v>2043</v>
      </c>
      <c r="D42" s="484">
        <f>IF(F41+SUM(E$17:E41)=D$10,F41,D$10-SUM(E$17:E41))</f>
        <v>584491.82115171629</v>
      </c>
      <c r="E42" s="485">
        <f t="shared" si="6"/>
        <v>31287.976744186046</v>
      </c>
      <c r="F42" s="486">
        <f t="shared" si="7"/>
        <v>553203.84440753027</v>
      </c>
      <c r="G42" s="487">
        <f t="shared" si="8"/>
        <v>96737.5237025932</v>
      </c>
      <c r="H42" s="456">
        <f t="shared" si="9"/>
        <v>96737.5237025932</v>
      </c>
      <c r="I42" s="476">
        <f t="shared" si="3"/>
        <v>0</v>
      </c>
      <c r="J42" s="476"/>
      <c r="K42" s="488"/>
      <c r="L42" s="479">
        <f t="shared" si="0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5"/>
        <v/>
      </c>
      <c r="C43" s="473">
        <f>IF(D11="","-",+C42+1)</f>
        <v>2044</v>
      </c>
      <c r="D43" s="484">
        <f>IF(F42+SUM(E$17:E42)=D$10,F42,D$10-SUM(E$17:E42))</f>
        <v>553203.84440753027</v>
      </c>
      <c r="E43" s="485">
        <f t="shared" si="6"/>
        <v>31287.976744186046</v>
      </c>
      <c r="F43" s="486">
        <f t="shared" si="7"/>
        <v>521915.86766334425</v>
      </c>
      <c r="G43" s="487">
        <f t="shared" si="8"/>
        <v>93137.643760806561</v>
      </c>
      <c r="H43" s="456">
        <f t="shared" si="9"/>
        <v>93137.643760806561</v>
      </c>
      <c r="I43" s="476">
        <f t="shared" si="3"/>
        <v>0</v>
      </c>
      <c r="J43" s="476"/>
      <c r="K43" s="488"/>
      <c r="L43" s="479">
        <f t="shared" si="0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5"/>
        <v/>
      </c>
      <c r="C44" s="473">
        <f>IF(D11="","-",+C43+1)</f>
        <v>2045</v>
      </c>
      <c r="D44" s="484">
        <f>IF(F43+SUM(E$17:E43)=D$10,F43,D$10-SUM(E$17:E43))</f>
        <v>521915.86766334425</v>
      </c>
      <c r="E44" s="485">
        <f t="shared" si="6"/>
        <v>31287.976744186046</v>
      </c>
      <c r="F44" s="486">
        <f t="shared" si="7"/>
        <v>490627.89091915824</v>
      </c>
      <c r="G44" s="487">
        <f t="shared" si="8"/>
        <v>89537.76381901995</v>
      </c>
      <c r="H44" s="456">
        <f t="shared" si="9"/>
        <v>89537.76381901995</v>
      </c>
      <c r="I44" s="476">
        <f t="shared" si="3"/>
        <v>0</v>
      </c>
      <c r="J44" s="476"/>
      <c r="K44" s="488"/>
      <c r="L44" s="479">
        <f t="shared" si="0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5"/>
        <v/>
      </c>
      <c r="C45" s="473">
        <f>IF(D11="","-",+C44+1)</f>
        <v>2046</v>
      </c>
      <c r="D45" s="484">
        <f>IF(F44+SUM(E$17:E44)=D$10,F44,D$10-SUM(E$17:E44))</f>
        <v>490627.89091915824</v>
      </c>
      <c r="E45" s="485">
        <f t="shared" si="6"/>
        <v>31287.976744186046</v>
      </c>
      <c r="F45" s="486">
        <f t="shared" si="7"/>
        <v>459339.91417497222</v>
      </c>
      <c r="G45" s="487">
        <f t="shared" si="8"/>
        <v>85937.88387723334</v>
      </c>
      <c r="H45" s="456">
        <f t="shared" si="9"/>
        <v>85937.88387723334</v>
      </c>
      <c r="I45" s="476">
        <f t="shared" si="3"/>
        <v>0</v>
      </c>
      <c r="J45" s="476"/>
      <c r="K45" s="488"/>
      <c r="L45" s="479">
        <f t="shared" si="0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5"/>
        <v/>
      </c>
      <c r="C46" s="473">
        <f>IF(D11="","-",+C45+1)</f>
        <v>2047</v>
      </c>
      <c r="D46" s="484">
        <f>IF(F45+SUM(E$17:E45)=D$10,F45,D$10-SUM(E$17:E45))</f>
        <v>459339.91417497222</v>
      </c>
      <c r="E46" s="485">
        <f t="shared" si="6"/>
        <v>31287.976744186046</v>
      </c>
      <c r="F46" s="486">
        <f t="shared" si="7"/>
        <v>428051.9374307862</v>
      </c>
      <c r="G46" s="487">
        <f t="shared" si="8"/>
        <v>82338.00393544673</v>
      </c>
      <c r="H46" s="456">
        <f t="shared" si="9"/>
        <v>82338.00393544673</v>
      </c>
      <c r="I46" s="476">
        <f t="shared" si="3"/>
        <v>0</v>
      </c>
      <c r="J46" s="476"/>
      <c r="K46" s="488"/>
      <c r="L46" s="479">
        <f t="shared" si="0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5"/>
        <v/>
      </c>
      <c r="C47" s="473">
        <f>IF(D11="","-",+C46+1)</f>
        <v>2048</v>
      </c>
      <c r="D47" s="484">
        <f>IF(F46+SUM(E$17:E46)=D$10,F46,D$10-SUM(E$17:E46))</f>
        <v>428051.9374307862</v>
      </c>
      <c r="E47" s="485">
        <f t="shared" si="6"/>
        <v>31287.976744186046</v>
      </c>
      <c r="F47" s="486">
        <f t="shared" si="7"/>
        <v>396763.96068660018</v>
      </c>
      <c r="G47" s="487">
        <f t="shared" si="8"/>
        <v>78738.12399366012</v>
      </c>
      <c r="H47" s="456">
        <f t="shared" si="9"/>
        <v>78738.12399366012</v>
      </c>
      <c r="I47" s="476">
        <f t="shared" si="3"/>
        <v>0</v>
      </c>
      <c r="J47" s="476"/>
      <c r="K47" s="488"/>
      <c r="L47" s="479">
        <f t="shared" si="0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5"/>
        <v/>
      </c>
      <c r="C48" s="473">
        <f>IF(D11="","-",+C47+1)</f>
        <v>2049</v>
      </c>
      <c r="D48" s="484">
        <f>IF(F47+SUM(E$17:E47)=D$10,F47,D$10-SUM(E$17:E47))</f>
        <v>396763.96068660018</v>
      </c>
      <c r="E48" s="485">
        <f t="shared" si="6"/>
        <v>31287.976744186046</v>
      </c>
      <c r="F48" s="486">
        <f t="shared" si="7"/>
        <v>365475.98394241417</v>
      </c>
      <c r="G48" s="487">
        <f t="shared" si="8"/>
        <v>75138.244051873495</v>
      </c>
      <c r="H48" s="456">
        <f t="shared" si="9"/>
        <v>75138.244051873495</v>
      </c>
      <c r="I48" s="476">
        <f t="shared" si="3"/>
        <v>0</v>
      </c>
      <c r="J48" s="476"/>
      <c r="K48" s="488"/>
      <c r="L48" s="479">
        <f t="shared" si="0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5"/>
        <v/>
      </c>
      <c r="C49" s="473">
        <f>IF(D11="","-",+C48+1)</f>
        <v>2050</v>
      </c>
      <c r="D49" s="484">
        <f>IF(F48+SUM(E$17:E48)=D$10,F48,D$10-SUM(E$17:E48))</f>
        <v>365475.98394241417</v>
      </c>
      <c r="E49" s="485">
        <f t="shared" si="6"/>
        <v>31287.976744186046</v>
      </c>
      <c r="F49" s="486">
        <f t="shared" si="7"/>
        <v>334188.00719822815</v>
      </c>
      <c r="G49" s="487">
        <f t="shared" si="8"/>
        <v>71538.36411008687</v>
      </c>
      <c r="H49" s="456">
        <f t="shared" si="9"/>
        <v>71538.36411008687</v>
      </c>
      <c r="I49" s="476">
        <f t="shared" si="3"/>
        <v>0</v>
      </c>
      <c r="J49" s="476"/>
      <c r="K49" s="488"/>
      <c r="L49" s="479">
        <f t="shared" si="0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5"/>
        <v/>
      </c>
      <c r="C50" s="473">
        <f>IF(D11="","-",+C49+1)</f>
        <v>2051</v>
      </c>
      <c r="D50" s="484">
        <f>IF(F49+SUM(E$17:E49)=D$10,F49,D$10-SUM(E$17:E49))</f>
        <v>334188.00719822815</v>
      </c>
      <c r="E50" s="485">
        <f t="shared" si="6"/>
        <v>31287.976744186046</v>
      </c>
      <c r="F50" s="486">
        <f t="shared" si="7"/>
        <v>302900.03045404213</v>
      </c>
      <c r="G50" s="487">
        <f t="shared" si="8"/>
        <v>67938.48416830026</v>
      </c>
      <c r="H50" s="456">
        <f t="shared" si="9"/>
        <v>67938.48416830026</v>
      </c>
      <c r="I50" s="476">
        <f t="shared" si="3"/>
        <v>0</v>
      </c>
      <c r="J50" s="476"/>
      <c r="K50" s="488"/>
      <c r="L50" s="479">
        <f t="shared" si="0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5"/>
        <v/>
      </c>
      <c r="C51" s="473">
        <f>IF(D11="","-",+C50+1)</f>
        <v>2052</v>
      </c>
      <c r="D51" s="484">
        <f>IF(F50+SUM(E$17:E50)=D$10,F50,D$10-SUM(E$17:E50))</f>
        <v>302900.03045404213</v>
      </c>
      <c r="E51" s="485">
        <f t="shared" si="6"/>
        <v>31287.976744186046</v>
      </c>
      <c r="F51" s="486">
        <f t="shared" si="7"/>
        <v>271612.05370985612</v>
      </c>
      <c r="G51" s="487">
        <f t="shared" si="8"/>
        <v>64338.604226513642</v>
      </c>
      <c r="H51" s="456">
        <f t="shared" si="9"/>
        <v>64338.604226513642</v>
      </c>
      <c r="I51" s="476">
        <f t="shared" si="3"/>
        <v>0</v>
      </c>
      <c r="J51" s="476"/>
      <c r="K51" s="488"/>
      <c r="L51" s="479">
        <f t="shared" si="0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5"/>
        <v/>
      </c>
      <c r="C52" s="473">
        <f>IF(D11="","-",+C51+1)</f>
        <v>2053</v>
      </c>
      <c r="D52" s="484">
        <f>IF(F51+SUM(E$17:E51)=D$10,F51,D$10-SUM(E$17:E51))</f>
        <v>271612.05370985612</v>
      </c>
      <c r="E52" s="485">
        <f t="shared" si="6"/>
        <v>31287.976744186046</v>
      </c>
      <c r="F52" s="486">
        <f t="shared" si="7"/>
        <v>240324.07696567007</v>
      </c>
      <c r="G52" s="487">
        <f t="shared" si="8"/>
        <v>60738.724284727024</v>
      </c>
      <c r="H52" s="456">
        <f t="shared" si="9"/>
        <v>60738.724284727024</v>
      </c>
      <c r="I52" s="476">
        <f t="shared" si="3"/>
        <v>0</v>
      </c>
      <c r="J52" s="476"/>
      <c r="K52" s="488"/>
      <c r="L52" s="479">
        <f t="shared" si="0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5"/>
        <v/>
      </c>
      <c r="C53" s="473">
        <f>IF(D11="","-",+C52+1)</f>
        <v>2054</v>
      </c>
      <c r="D53" s="484">
        <f>IF(F52+SUM(E$17:E52)=D$10,F52,D$10-SUM(E$17:E52))</f>
        <v>240324.07696567007</v>
      </c>
      <c r="E53" s="485">
        <f t="shared" si="6"/>
        <v>31287.976744186046</v>
      </c>
      <c r="F53" s="486">
        <f t="shared" si="7"/>
        <v>209036.10022148403</v>
      </c>
      <c r="G53" s="487">
        <f t="shared" si="8"/>
        <v>57138.8443429404</v>
      </c>
      <c r="H53" s="456">
        <f t="shared" si="9"/>
        <v>57138.8443429404</v>
      </c>
      <c r="I53" s="476">
        <f t="shared" si="3"/>
        <v>0</v>
      </c>
      <c r="J53" s="476"/>
      <c r="K53" s="488"/>
      <c r="L53" s="479">
        <f t="shared" si="0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5"/>
        <v/>
      </c>
      <c r="C54" s="473">
        <f>IF(D11="","-",+C53+1)</f>
        <v>2055</v>
      </c>
      <c r="D54" s="484">
        <f>IF(F53+SUM(E$17:E53)=D$10,F53,D$10-SUM(E$17:E53))</f>
        <v>209036.10022148403</v>
      </c>
      <c r="E54" s="485">
        <f t="shared" si="6"/>
        <v>31287.976744186046</v>
      </c>
      <c r="F54" s="486">
        <f t="shared" si="7"/>
        <v>177748.12347729798</v>
      </c>
      <c r="G54" s="487">
        <f t="shared" si="8"/>
        <v>53538.964401153782</v>
      </c>
      <c r="H54" s="456">
        <f t="shared" si="9"/>
        <v>53538.964401153782</v>
      </c>
      <c r="I54" s="476">
        <f t="shared" si="3"/>
        <v>0</v>
      </c>
      <c r="J54" s="476"/>
      <c r="K54" s="488"/>
      <c r="L54" s="479">
        <f t="shared" si="0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5"/>
        <v/>
      </c>
      <c r="C55" s="473">
        <f>IF(D11="","-",+C54+1)</f>
        <v>2056</v>
      </c>
      <c r="D55" s="484">
        <f>IF(F54+SUM(E$17:E54)=D$10,F54,D$10-SUM(E$17:E54))</f>
        <v>177748.12347729798</v>
      </c>
      <c r="E55" s="485">
        <f t="shared" si="6"/>
        <v>31287.976744186046</v>
      </c>
      <c r="F55" s="486">
        <f t="shared" si="7"/>
        <v>146460.14673311193</v>
      </c>
      <c r="G55" s="487">
        <f t="shared" si="8"/>
        <v>49939.084459367165</v>
      </c>
      <c r="H55" s="456">
        <f t="shared" si="9"/>
        <v>49939.084459367165</v>
      </c>
      <c r="I55" s="476">
        <f t="shared" si="3"/>
        <v>0</v>
      </c>
      <c r="J55" s="476"/>
      <c r="K55" s="488"/>
      <c r="L55" s="479">
        <f t="shared" si="0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5"/>
        <v/>
      </c>
      <c r="C56" s="473">
        <f>IF(D11="","-",+C55+1)</f>
        <v>2057</v>
      </c>
      <c r="D56" s="484">
        <f>IF(F55+SUM(E$17:E55)=D$10,F55,D$10-SUM(E$17:E55))</f>
        <v>146460.14673311193</v>
      </c>
      <c r="E56" s="485">
        <f t="shared" si="6"/>
        <v>31287.976744186046</v>
      </c>
      <c r="F56" s="486">
        <f t="shared" si="7"/>
        <v>115172.16998892589</v>
      </c>
      <c r="G56" s="487">
        <f t="shared" si="8"/>
        <v>46339.20451758054</v>
      </c>
      <c r="H56" s="456">
        <f t="shared" si="9"/>
        <v>46339.20451758054</v>
      </c>
      <c r="I56" s="476">
        <f t="shared" si="3"/>
        <v>0</v>
      </c>
      <c r="J56" s="476"/>
      <c r="K56" s="488"/>
      <c r="L56" s="479">
        <f t="shared" si="0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5"/>
        <v/>
      </c>
      <c r="C57" s="473">
        <f>IF(D11="","-",+C56+1)</f>
        <v>2058</v>
      </c>
      <c r="D57" s="484">
        <f>IF(F56+SUM(E$17:E56)=D$10,F56,D$10-SUM(E$17:E56))</f>
        <v>115172.16998892589</v>
      </c>
      <c r="E57" s="485">
        <f t="shared" si="6"/>
        <v>31287.976744186046</v>
      </c>
      <c r="F57" s="486">
        <f t="shared" si="7"/>
        <v>83884.193244739843</v>
      </c>
      <c r="G57" s="487">
        <f t="shared" si="8"/>
        <v>42739.324575793922</v>
      </c>
      <c r="H57" s="456">
        <f t="shared" si="9"/>
        <v>42739.324575793922</v>
      </c>
      <c r="I57" s="476">
        <f t="shared" si="3"/>
        <v>0</v>
      </c>
      <c r="J57" s="476"/>
      <c r="K57" s="488"/>
      <c r="L57" s="479">
        <f t="shared" si="0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5"/>
        <v/>
      </c>
      <c r="C58" s="473">
        <f>IF(D11="","-",+C57+1)</f>
        <v>2059</v>
      </c>
      <c r="D58" s="484">
        <f>IF(F57+SUM(E$17:E57)=D$10,F57,D$10-SUM(E$17:E57))</f>
        <v>83884.193244739843</v>
      </c>
      <c r="E58" s="485">
        <f t="shared" si="6"/>
        <v>31287.976744186046</v>
      </c>
      <c r="F58" s="486">
        <f t="shared" si="7"/>
        <v>52596.216500553797</v>
      </c>
      <c r="G58" s="487">
        <f t="shared" si="8"/>
        <v>39139.444634007297</v>
      </c>
      <c r="H58" s="456">
        <f t="shared" si="9"/>
        <v>39139.444634007297</v>
      </c>
      <c r="I58" s="476">
        <f t="shared" si="3"/>
        <v>0</v>
      </c>
      <c r="J58" s="476"/>
      <c r="K58" s="488"/>
      <c r="L58" s="479">
        <f t="shared" si="0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5"/>
        <v/>
      </c>
      <c r="C59" s="473">
        <f>IF(D11="","-",+C58+1)</f>
        <v>2060</v>
      </c>
      <c r="D59" s="484">
        <f>IF(F58+SUM(E$17:E58)=D$10,F58,D$10-SUM(E$17:E58))</f>
        <v>52596.216500553797</v>
      </c>
      <c r="E59" s="485">
        <f t="shared" si="6"/>
        <v>31287.976744186046</v>
      </c>
      <c r="F59" s="486">
        <f t="shared" si="7"/>
        <v>21308.239756367751</v>
      </c>
      <c r="G59" s="487">
        <f t="shared" si="8"/>
        <v>35539.56469222068</v>
      </c>
      <c r="H59" s="456">
        <f t="shared" si="9"/>
        <v>35539.56469222068</v>
      </c>
      <c r="I59" s="476">
        <f t="shared" si="3"/>
        <v>0</v>
      </c>
      <c r="J59" s="476"/>
      <c r="K59" s="488"/>
      <c r="L59" s="479">
        <f t="shared" si="0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5"/>
        <v/>
      </c>
      <c r="C60" s="473">
        <f>IF(D11="","-",+C59+1)</f>
        <v>2061</v>
      </c>
      <c r="D60" s="484">
        <f>IF(F59+SUM(E$17:E59)=D$10,F59,D$10-SUM(E$17:E59))</f>
        <v>21308.239756367751</v>
      </c>
      <c r="E60" s="485">
        <f t="shared" si="6"/>
        <v>21308.239756367751</v>
      </c>
      <c r="F60" s="486">
        <f t="shared" si="7"/>
        <v>0</v>
      </c>
      <c r="G60" s="487">
        <f t="shared" si="8"/>
        <v>22534.063744938412</v>
      </c>
      <c r="H60" s="456">
        <f t="shared" si="9"/>
        <v>22534.063744938412</v>
      </c>
      <c r="I60" s="476">
        <f t="shared" si="3"/>
        <v>0</v>
      </c>
      <c r="J60" s="476"/>
      <c r="K60" s="488"/>
      <c r="L60" s="479">
        <f t="shared" si="0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5"/>
        <v/>
      </c>
      <c r="C61" s="473">
        <f>IF(D11="","-",+C60+1)</f>
        <v>2062</v>
      </c>
      <c r="D61" s="484">
        <f>IF(F60+SUM(E$17:E60)=D$10,F60,D$10-SUM(E$17:E60))</f>
        <v>0</v>
      </c>
      <c r="E61" s="485">
        <f t="shared" si="6"/>
        <v>0</v>
      </c>
      <c r="F61" s="486">
        <f t="shared" si="7"/>
        <v>0</v>
      </c>
      <c r="G61" s="487">
        <f t="shared" si="8"/>
        <v>0</v>
      </c>
      <c r="H61" s="456">
        <f t="shared" si="9"/>
        <v>0</v>
      </c>
      <c r="I61" s="476">
        <f t="shared" si="3"/>
        <v>0</v>
      </c>
      <c r="J61" s="476"/>
      <c r="K61" s="488"/>
      <c r="L61" s="479">
        <f t="shared" si="0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5"/>
        <v/>
      </c>
      <c r="C62" s="473">
        <f>IF(D11="","-",+C61+1)</f>
        <v>2063</v>
      </c>
      <c r="D62" s="484">
        <f>IF(F61+SUM(E$17:E61)=D$10,F61,D$10-SUM(E$17:E61))</f>
        <v>0</v>
      </c>
      <c r="E62" s="485">
        <f t="shared" si="6"/>
        <v>0</v>
      </c>
      <c r="F62" s="486">
        <f t="shared" si="7"/>
        <v>0</v>
      </c>
      <c r="G62" s="487">
        <f t="shared" si="8"/>
        <v>0</v>
      </c>
      <c r="H62" s="456">
        <f t="shared" si="9"/>
        <v>0</v>
      </c>
      <c r="I62" s="476">
        <f t="shared" si="3"/>
        <v>0</v>
      </c>
      <c r="J62" s="476"/>
      <c r="K62" s="488"/>
      <c r="L62" s="479">
        <f t="shared" si="0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5"/>
        <v/>
      </c>
      <c r="C63" s="473">
        <f>IF(D11="","-",+C62+1)</f>
        <v>2064</v>
      </c>
      <c r="D63" s="484">
        <f>IF(F62+SUM(E$17:E62)=D$10,F62,D$10-SUM(E$17:E62))</f>
        <v>0</v>
      </c>
      <c r="E63" s="485">
        <f t="shared" si="6"/>
        <v>0</v>
      </c>
      <c r="F63" s="486">
        <f t="shared" si="7"/>
        <v>0</v>
      </c>
      <c r="G63" s="487">
        <f t="shared" si="8"/>
        <v>0</v>
      </c>
      <c r="H63" s="456">
        <f t="shared" si="9"/>
        <v>0</v>
      </c>
      <c r="I63" s="476">
        <f t="shared" si="3"/>
        <v>0</v>
      </c>
      <c r="J63" s="476"/>
      <c r="K63" s="488"/>
      <c r="L63" s="479">
        <f t="shared" si="0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5"/>
        <v/>
      </c>
      <c r="C64" s="473">
        <f>IF(D11="","-",+C63+1)</f>
        <v>2065</v>
      </c>
      <c r="D64" s="484">
        <f>IF(F63+SUM(E$17:E63)=D$10,F63,D$10-SUM(E$17:E63))</f>
        <v>0</v>
      </c>
      <c r="E64" s="485">
        <f t="shared" si="6"/>
        <v>0</v>
      </c>
      <c r="F64" s="486">
        <f t="shared" si="7"/>
        <v>0</v>
      </c>
      <c r="G64" s="487">
        <f t="shared" si="8"/>
        <v>0</v>
      </c>
      <c r="H64" s="456">
        <f t="shared" si="9"/>
        <v>0</v>
      </c>
      <c r="I64" s="476">
        <f t="shared" si="3"/>
        <v>0</v>
      </c>
      <c r="J64" s="476"/>
      <c r="K64" s="488"/>
      <c r="L64" s="479">
        <f t="shared" si="0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5"/>
        <v/>
      </c>
      <c r="C65" s="473">
        <f>IF(D11="","-",+C64+1)</f>
        <v>2066</v>
      </c>
      <c r="D65" s="484">
        <f>IF(F64+SUM(E$17:E64)=D$10,F64,D$10-SUM(E$17:E64))</f>
        <v>0</v>
      </c>
      <c r="E65" s="485">
        <f t="shared" si="6"/>
        <v>0</v>
      </c>
      <c r="F65" s="486">
        <f t="shared" si="7"/>
        <v>0</v>
      </c>
      <c r="G65" s="487">
        <f t="shared" si="8"/>
        <v>0</v>
      </c>
      <c r="H65" s="456">
        <f t="shared" si="9"/>
        <v>0</v>
      </c>
      <c r="I65" s="476">
        <f t="shared" si="3"/>
        <v>0</v>
      </c>
      <c r="J65" s="476"/>
      <c r="K65" s="488"/>
      <c r="L65" s="479">
        <f t="shared" si="0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5"/>
        <v/>
      </c>
      <c r="C66" s="473">
        <f>IF(D11="","-",+C65+1)</f>
        <v>2067</v>
      </c>
      <c r="D66" s="484">
        <f>IF(F65+SUM(E$17:E65)=D$10,F65,D$10-SUM(E$17:E65))</f>
        <v>0</v>
      </c>
      <c r="E66" s="485">
        <f t="shared" si="6"/>
        <v>0</v>
      </c>
      <c r="F66" s="486">
        <f t="shared" si="7"/>
        <v>0</v>
      </c>
      <c r="G66" s="487">
        <f t="shared" si="8"/>
        <v>0</v>
      </c>
      <c r="H66" s="456">
        <f t="shared" si="9"/>
        <v>0</v>
      </c>
      <c r="I66" s="476">
        <f t="shared" si="3"/>
        <v>0</v>
      </c>
      <c r="J66" s="476"/>
      <c r="K66" s="488"/>
      <c r="L66" s="479">
        <f t="shared" si="0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5"/>
        <v/>
      </c>
      <c r="C67" s="473">
        <f>IF(D11="","-",+C66+1)</f>
        <v>2068</v>
      </c>
      <c r="D67" s="484">
        <f>IF(F66+SUM(E$17:E66)=D$10,F66,D$10-SUM(E$17:E66))</f>
        <v>0</v>
      </c>
      <c r="E67" s="485">
        <f t="shared" si="6"/>
        <v>0</v>
      </c>
      <c r="F67" s="486">
        <f t="shared" si="7"/>
        <v>0</v>
      </c>
      <c r="G67" s="487">
        <f t="shared" si="8"/>
        <v>0</v>
      </c>
      <c r="H67" s="456">
        <f t="shared" si="9"/>
        <v>0</v>
      </c>
      <c r="I67" s="476">
        <f t="shared" si="3"/>
        <v>0</v>
      </c>
      <c r="J67" s="476"/>
      <c r="K67" s="488"/>
      <c r="L67" s="479">
        <f t="shared" si="0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5"/>
        <v/>
      </c>
      <c r="C68" s="473">
        <f>IF(D11="","-",+C67+1)</f>
        <v>2069</v>
      </c>
      <c r="D68" s="484">
        <f>IF(F67+SUM(E$17:E67)=D$10,F67,D$10-SUM(E$17:E67))</f>
        <v>0</v>
      </c>
      <c r="E68" s="485">
        <f t="shared" si="6"/>
        <v>0</v>
      </c>
      <c r="F68" s="486">
        <f t="shared" si="7"/>
        <v>0</v>
      </c>
      <c r="G68" s="487">
        <f t="shared" si="8"/>
        <v>0</v>
      </c>
      <c r="H68" s="456">
        <f t="shared" si="9"/>
        <v>0</v>
      </c>
      <c r="I68" s="476">
        <f t="shared" si="3"/>
        <v>0</v>
      </c>
      <c r="J68" s="476"/>
      <c r="K68" s="488"/>
      <c r="L68" s="479">
        <f t="shared" si="0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5"/>
        <v/>
      </c>
      <c r="C69" s="473">
        <f>IF(D11="","-",+C68+1)</f>
        <v>2070</v>
      </c>
      <c r="D69" s="484">
        <f>IF(F68+SUM(E$17:E68)=D$10,F68,D$10-SUM(E$17:E68))</f>
        <v>0</v>
      </c>
      <c r="E69" s="485">
        <f t="shared" si="6"/>
        <v>0</v>
      </c>
      <c r="F69" s="486">
        <f t="shared" si="7"/>
        <v>0</v>
      </c>
      <c r="G69" s="487">
        <f t="shared" si="8"/>
        <v>0</v>
      </c>
      <c r="H69" s="456">
        <f t="shared" si="9"/>
        <v>0</v>
      </c>
      <c r="I69" s="476">
        <f t="shared" si="3"/>
        <v>0</v>
      </c>
      <c r="J69" s="476"/>
      <c r="K69" s="488"/>
      <c r="L69" s="479">
        <f t="shared" si="0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5"/>
        <v/>
      </c>
      <c r="C70" s="473">
        <f>IF(D11="","-",+C69+1)</f>
        <v>2071</v>
      </c>
      <c r="D70" s="484">
        <f>IF(F69+SUM(E$17:E69)=D$10,F69,D$10-SUM(E$17:E69))</f>
        <v>0</v>
      </c>
      <c r="E70" s="485">
        <f t="shared" si="6"/>
        <v>0</v>
      </c>
      <c r="F70" s="486">
        <f t="shared" si="7"/>
        <v>0</v>
      </c>
      <c r="G70" s="487">
        <f t="shared" si="8"/>
        <v>0</v>
      </c>
      <c r="H70" s="456">
        <f t="shared" si="9"/>
        <v>0</v>
      </c>
      <c r="I70" s="476">
        <f t="shared" si="3"/>
        <v>0</v>
      </c>
      <c r="J70" s="476"/>
      <c r="K70" s="488"/>
      <c r="L70" s="479">
        <f t="shared" si="0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5"/>
        <v/>
      </c>
      <c r="C71" s="473">
        <f>IF(D11="","-",+C70+1)</f>
        <v>2072</v>
      </c>
      <c r="D71" s="484">
        <f>IF(F70+SUM(E$17:E70)=D$10,F70,D$10-SUM(E$17:E70))</f>
        <v>0</v>
      </c>
      <c r="E71" s="485">
        <f t="shared" si="6"/>
        <v>0</v>
      </c>
      <c r="F71" s="486">
        <f t="shared" si="7"/>
        <v>0</v>
      </c>
      <c r="G71" s="487">
        <f t="shared" si="8"/>
        <v>0</v>
      </c>
      <c r="H71" s="456">
        <f t="shared" si="9"/>
        <v>0</v>
      </c>
      <c r="I71" s="476">
        <f t="shared" si="3"/>
        <v>0</v>
      </c>
      <c r="J71" s="476"/>
      <c r="K71" s="488"/>
      <c r="L71" s="479">
        <f t="shared" si="0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2073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0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1345383</v>
      </c>
      <c r="F73" s="348"/>
      <c r="G73" s="348">
        <f>SUM(G17:G72)</f>
        <v>4706011.9144352237</v>
      </c>
      <c r="H73" s="348">
        <f>SUM(H17:H72)</f>
        <v>4706011.9144352237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24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171175.11640159666</v>
      </c>
      <c r="N87" s="509">
        <f>IF(J92&lt;D11,0,VLOOKUP(J92,C17:O72,11))</f>
        <v>171175.11640159666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179056.99193510308</v>
      </c>
      <c r="N88" s="513">
        <f>IF(J92&lt;D11,0,VLOOKUP(J92,C99:P154,7))</f>
        <v>179056.99193510308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Duncan-Comanche Tap 69 KV Rebuild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7881.8755335064197</v>
      </c>
      <c r="N89" s="518">
        <f>+N88-N87</f>
        <v>7881.8755335064197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TP2015191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1345383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5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31288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15290</v>
      </c>
      <c r="F99" s="585">
        <v>1299649</v>
      </c>
      <c r="G99" s="609">
        <v>649824.5</v>
      </c>
      <c r="H99" s="588">
        <v>82050.088345518569</v>
      </c>
      <c r="I99" s="608">
        <v>82050.088345518569</v>
      </c>
      <c r="J99" s="479">
        <f>+I99-H99</f>
        <v>0</v>
      </c>
      <c r="K99" s="479"/>
      <c r="L99" s="478">
        <f>+H99</f>
        <v>82050.088345518569</v>
      </c>
      <c r="M99" s="478">
        <f t="shared" ref="M99" si="10">IF(L99&lt;&gt;0,+H99-L99,0)</f>
        <v>0</v>
      </c>
      <c r="N99" s="478">
        <f>+I99</f>
        <v>82050.088345518569</v>
      </c>
      <c r="O99" s="478">
        <f t="shared" ref="O99" si="11">IF(N99&lt;&gt;0,+I99-N99,0)</f>
        <v>0</v>
      </c>
      <c r="P99" s="478">
        <f t="shared" ref="P99" si="12">+O99-M99</f>
        <v>0</v>
      </c>
    </row>
    <row r="100" spans="1:16" ht="12.5">
      <c r="B100" s="160" t="str">
        <f>IF(D100=F99,"","IU")</f>
        <v>IU</v>
      </c>
      <c r="C100" s="473">
        <f>IF(D93="","-",+C99+1)</f>
        <v>2019</v>
      </c>
      <c r="D100" s="585">
        <v>1330093</v>
      </c>
      <c r="E100" s="586">
        <v>32814</v>
      </c>
      <c r="F100" s="587">
        <v>1297279</v>
      </c>
      <c r="G100" s="587">
        <v>1313686</v>
      </c>
      <c r="H100" s="607">
        <v>168273.45246575892</v>
      </c>
      <c r="I100" s="608">
        <v>168273.45246575892</v>
      </c>
      <c r="J100" s="479">
        <f t="shared" ref="J100:J130" si="13">+I100-H100</f>
        <v>0</v>
      </c>
      <c r="K100" s="479"/>
      <c r="L100" s="477">
        <f>H100</f>
        <v>168273.45246575892</v>
      </c>
      <c r="M100" s="349">
        <f>IF(L100&lt;&gt;0,+H100-L100,0)</f>
        <v>0</v>
      </c>
      <c r="N100" s="477">
        <f>I100</f>
        <v>168273.45246575892</v>
      </c>
      <c r="O100" s="479">
        <f t="shared" ref="O100:O130" si="14">IF(N100&lt;&gt;0,+I100-N100,0)</f>
        <v>0</v>
      </c>
      <c r="P100" s="479">
        <f t="shared" ref="P100:P130" si="15">+O100-M100</f>
        <v>0</v>
      </c>
    </row>
    <row r="101" spans="1:16" ht="12.5">
      <c r="B101" s="160" t="str">
        <f t="shared" ref="B101:B154" si="16">IF(D101=F100,"","IU")</f>
        <v/>
      </c>
      <c r="C101" s="473">
        <f>IF(D93="","-",+C100+1)</f>
        <v>2020</v>
      </c>
      <c r="D101" s="347">
        <f>IF(F100+SUM(E$99:E100)=D$92,F100,D$92-SUM(E$99:E100))</f>
        <v>1297279</v>
      </c>
      <c r="E101" s="485">
        <f t="shared" ref="E101:E154" si="17">IF(+J$96&lt;F100,J$96,D101)</f>
        <v>31288</v>
      </c>
      <c r="F101" s="486">
        <f t="shared" ref="F101:F154" si="18">+D101-E101</f>
        <v>1265991</v>
      </c>
      <c r="G101" s="486">
        <f t="shared" ref="G101:G154" si="19">+(F101+D101)/2</f>
        <v>1281635</v>
      </c>
      <c r="H101" s="487">
        <f>(D101+F101)/2*J$94+E101</f>
        <v>179056.99193510308</v>
      </c>
      <c r="I101" s="543">
        <f t="shared" ref="I101:I154" si="20">+J$95*G101+E101</f>
        <v>179056.99193510308</v>
      </c>
      <c r="J101" s="479">
        <f t="shared" si="13"/>
        <v>0</v>
      </c>
      <c r="K101" s="479"/>
      <c r="L101" s="488"/>
      <c r="M101" s="479">
        <f t="shared" ref="M101:M130" si="21">IF(L101&lt;&gt;0,+H101-L101,0)</f>
        <v>0</v>
      </c>
      <c r="N101" s="488"/>
      <c r="O101" s="479">
        <f t="shared" si="14"/>
        <v>0</v>
      </c>
      <c r="P101" s="479">
        <f t="shared" si="15"/>
        <v>0</v>
      </c>
    </row>
    <row r="102" spans="1:16" ht="12.5">
      <c r="B102" s="160" t="str">
        <f t="shared" si="16"/>
        <v/>
      </c>
      <c r="C102" s="473">
        <f>IF(D93="","-",+C101+1)</f>
        <v>2021</v>
      </c>
      <c r="D102" s="347">
        <f>IF(F101+SUM(E$99:E101)=D$92,F101,D$92-SUM(E$99:E101))</f>
        <v>1265991</v>
      </c>
      <c r="E102" s="485">
        <f t="shared" si="17"/>
        <v>31288</v>
      </c>
      <c r="F102" s="486">
        <f t="shared" si="18"/>
        <v>1234703</v>
      </c>
      <c r="G102" s="486">
        <f t="shared" si="19"/>
        <v>1250347</v>
      </c>
      <c r="H102" s="487">
        <f t="shared" ref="H102:H153" si="22">(D102+F102)/2*J$94+E102</f>
        <v>175449.57155436635</v>
      </c>
      <c r="I102" s="543">
        <f t="shared" ref="I102:I153" si="23">+J$95*G102+E102</f>
        <v>175449.57155436635</v>
      </c>
      <c r="J102" s="479">
        <f t="shared" si="13"/>
        <v>0</v>
      </c>
      <c r="K102" s="479"/>
      <c r="L102" s="488"/>
      <c r="M102" s="479">
        <f t="shared" si="21"/>
        <v>0</v>
      </c>
      <c r="N102" s="488"/>
      <c r="O102" s="479">
        <f t="shared" si="14"/>
        <v>0</v>
      </c>
      <c r="P102" s="479">
        <f t="shared" si="15"/>
        <v>0</v>
      </c>
    </row>
    <row r="103" spans="1:16" ht="12.5">
      <c r="B103" s="160" t="str">
        <f t="shared" si="16"/>
        <v/>
      </c>
      <c r="C103" s="473">
        <f>IF(D93="","-",+C102+1)</f>
        <v>2022</v>
      </c>
      <c r="D103" s="347">
        <f>IF(F102+SUM(E$99:E102)=D$92,F102,D$92-SUM(E$99:E102))</f>
        <v>1234703</v>
      </c>
      <c r="E103" s="485">
        <f t="shared" si="17"/>
        <v>31288</v>
      </c>
      <c r="F103" s="486">
        <f t="shared" si="18"/>
        <v>1203415</v>
      </c>
      <c r="G103" s="486">
        <f t="shared" si="19"/>
        <v>1219059</v>
      </c>
      <c r="H103" s="487">
        <f t="shared" si="22"/>
        <v>171842.15117362965</v>
      </c>
      <c r="I103" s="543">
        <f t="shared" si="23"/>
        <v>171842.15117362965</v>
      </c>
      <c r="J103" s="479">
        <f t="shared" si="13"/>
        <v>0</v>
      </c>
      <c r="K103" s="479"/>
      <c r="L103" s="488"/>
      <c r="M103" s="479">
        <f t="shared" si="21"/>
        <v>0</v>
      </c>
      <c r="N103" s="488"/>
      <c r="O103" s="479">
        <f t="shared" si="14"/>
        <v>0</v>
      </c>
      <c r="P103" s="479">
        <f t="shared" si="15"/>
        <v>0</v>
      </c>
    </row>
    <row r="104" spans="1:16" ht="12.5">
      <c r="B104" s="160" t="str">
        <f t="shared" si="16"/>
        <v/>
      </c>
      <c r="C104" s="473">
        <f>IF(D93="","-",+C103+1)</f>
        <v>2023</v>
      </c>
      <c r="D104" s="347">
        <f>IF(F103+SUM(E$99:E103)=D$92,F103,D$92-SUM(E$99:E103))</f>
        <v>1203415</v>
      </c>
      <c r="E104" s="485">
        <f t="shared" si="17"/>
        <v>31288</v>
      </c>
      <c r="F104" s="486">
        <f t="shared" si="18"/>
        <v>1172127</v>
      </c>
      <c r="G104" s="486">
        <f t="shared" si="19"/>
        <v>1187771</v>
      </c>
      <c r="H104" s="487">
        <f t="shared" si="22"/>
        <v>168234.73079289292</v>
      </c>
      <c r="I104" s="543">
        <f t="shared" si="23"/>
        <v>168234.73079289292</v>
      </c>
      <c r="J104" s="479">
        <f t="shared" si="13"/>
        <v>0</v>
      </c>
      <c r="K104" s="479"/>
      <c r="L104" s="488"/>
      <c r="M104" s="479">
        <f t="shared" si="21"/>
        <v>0</v>
      </c>
      <c r="N104" s="488"/>
      <c r="O104" s="479">
        <f t="shared" si="14"/>
        <v>0</v>
      </c>
      <c r="P104" s="479">
        <f t="shared" si="15"/>
        <v>0</v>
      </c>
    </row>
    <row r="105" spans="1:16" ht="12.5">
      <c r="B105" s="160" t="str">
        <f t="shared" si="16"/>
        <v/>
      </c>
      <c r="C105" s="473">
        <f>IF(D93="","-",+C104+1)</f>
        <v>2024</v>
      </c>
      <c r="D105" s="347">
        <f>IF(F104+SUM(E$99:E104)=D$92,F104,D$92-SUM(E$99:E104))</f>
        <v>1172127</v>
      </c>
      <c r="E105" s="485">
        <f t="shared" si="17"/>
        <v>31288</v>
      </c>
      <c r="F105" s="486">
        <f t="shared" si="18"/>
        <v>1140839</v>
      </c>
      <c r="G105" s="486">
        <f t="shared" si="19"/>
        <v>1156483</v>
      </c>
      <c r="H105" s="487">
        <f t="shared" si="22"/>
        <v>164627.31041215622</v>
      </c>
      <c r="I105" s="543">
        <f t="shared" si="23"/>
        <v>164627.31041215622</v>
      </c>
      <c r="J105" s="479">
        <f t="shared" si="13"/>
        <v>0</v>
      </c>
      <c r="K105" s="479"/>
      <c r="L105" s="488"/>
      <c r="M105" s="479">
        <f t="shared" si="21"/>
        <v>0</v>
      </c>
      <c r="N105" s="488"/>
      <c r="O105" s="479">
        <f t="shared" si="14"/>
        <v>0</v>
      </c>
      <c r="P105" s="479">
        <f t="shared" si="15"/>
        <v>0</v>
      </c>
    </row>
    <row r="106" spans="1:16" ht="12.5">
      <c r="B106" s="160" t="str">
        <f t="shared" si="16"/>
        <v/>
      </c>
      <c r="C106" s="473">
        <f>IF(D93="","-",+C105+1)</f>
        <v>2025</v>
      </c>
      <c r="D106" s="347">
        <f>IF(F105+SUM(E$99:E105)=D$92,F105,D$92-SUM(E$99:E105))</f>
        <v>1140839</v>
      </c>
      <c r="E106" s="485">
        <f t="shared" si="17"/>
        <v>31288</v>
      </c>
      <c r="F106" s="486">
        <f t="shared" si="18"/>
        <v>1109551</v>
      </c>
      <c r="G106" s="486">
        <f t="shared" si="19"/>
        <v>1125195</v>
      </c>
      <c r="H106" s="487">
        <f t="shared" si="22"/>
        <v>161019.89003141949</v>
      </c>
      <c r="I106" s="543">
        <f t="shared" si="23"/>
        <v>161019.89003141949</v>
      </c>
      <c r="J106" s="479">
        <f t="shared" si="13"/>
        <v>0</v>
      </c>
      <c r="K106" s="479"/>
      <c r="L106" s="488"/>
      <c r="M106" s="479">
        <f t="shared" si="21"/>
        <v>0</v>
      </c>
      <c r="N106" s="488"/>
      <c r="O106" s="479">
        <f t="shared" si="14"/>
        <v>0</v>
      </c>
      <c r="P106" s="479">
        <f t="shared" si="15"/>
        <v>0</v>
      </c>
    </row>
    <row r="107" spans="1:16" ht="12.5">
      <c r="B107" s="160" t="str">
        <f t="shared" si="16"/>
        <v/>
      </c>
      <c r="C107" s="473">
        <f>IF(D93="","-",+C106+1)</f>
        <v>2026</v>
      </c>
      <c r="D107" s="347">
        <f>IF(F106+SUM(E$99:E106)=D$92,F106,D$92-SUM(E$99:E106))</f>
        <v>1109551</v>
      </c>
      <c r="E107" s="485">
        <f t="shared" si="17"/>
        <v>31288</v>
      </c>
      <c r="F107" s="486">
        <f t="shared" si="18"/>
        <v>1078263</v>
      </c>
      <c r="G107" s="486">
        <f t="shared" si="19"/>
        <v>1093907</v>
      </c>
      <c r="H107" s="487">
        <f t="shared" si="22"/>
        <v>157412.46965068276</v>
      </c>
      <c r="I107" s="543">
        <f t="shared" si="23"/>
        <v>157412.46965068276</v>
      </c>
      <c r="J107" s="479">
        <f t="shared" si="13"/>
        <v>0</v>
      </c>
      <c r="K107" s="479"/>
      <c r="L107" s="488"/>
      <c r="M107" s="479">
        <f t="shared" si="21"/>
        <v>0</v>
      </c>
      <c r="N107" s="488"/>
      <c r="O107" s="479">
        <f t="shared" si="14"/>
        <v>0</v>
      </c>
      <c r="P107" s="479">
        <f t="shared" si="15"/>
        <v>0</v>
      </c>
    </row>
    <row r="108" spans="1:16" ht="12.5">
      <c r="B108" s="160" t="str">
        <f t="shared" si="16"/>
        <v/>
      </c>
      <c r="C108" s="473">
        <f>IF(D93="","-",+C107+1)</f>
        <v>2027</v>
      </c>
      <c r="D108" s="347">
        <f>IF(F107+SUM(E$99:E107)=D$92,F107,D$92-SUM(E$99:E107))</f>
        <v>1078263</v>
      </c>
      <c r="E108" s="485">
        <f t="shared" si="17"/>
        <v>31288</v>
      </c>
      <c r="F108" s="486">
        <f t="shared" si="18"/>
        <v>1046975</v>
      </c>
      <c r="G108" s="486">
        <f t="shared" si="19"/>
        <v>1062619</v>
      </c>
      <c r="H108" s="487">
        <f t="shared" si="22"/>
        <v>153805.04926994606</v>
      </c>
      <c r="I108" s="543">
        <f t="shared" si="23"/>
        <v>153805.04926994606</v>
      </c>
      <c r="J108" s="479">
        <f t="shared" si="13"/>
        <v>0</v>
      </c>
      <c r="K108" s="479"/>
      <c r="L108" s="488"/>
      <c r="M108" s="479">
        <f t="shared" si="21"/>
        <v>0</v>
      </c>
      <c r="N108" s="488"/>
      <c r="O108" s="479">
        <f t="shared" si="14"/>
        <v>0</v>
      </c>
      <c r="P108" s="479">
        <f t="shared" si="15"/>
        <v>0</v>
      </c>
    </row>
    <row r="109" spans="1:16" ht="12.5">
      <c r="B109" s="160" t="str">
        <f t="shared" si="16"/>
        <v/>
      </c>
      <c r="C109" s="473">
        <f>IF(D93="","-",+C108+1)</f>
        <v>2028</v>
      </c>
      <c r="D109" s="347">
        <f>IF(F108+SUM(E$99:E108)=D$92,F108,D$92-SUM(E$99:E108))</f>
        <v>1046975</v>
      </c>
      <c r="E109" s="485">
        <f t="shared" si="17"/>
        <v>31288</v>
      </c>
      <c r="F109" s="486">
        <f t="shared" si="18"/>
        <v>1015687</v>
      </c>
      <c r="G109" s="486">
        <f t="shared" si="19"/>
        <v>1031331</v>
      </c>
      <c r="H109" s="487">
        <f t="shared" si="22"/>
        <v>150197.62888920933</v>
      </c>
      <c r="I109" s="543">
        <f t="shared" si="23"/>
        <v>150197.62888920933</v>
      </c>
      <c r="J109" s="479">
        <f t="shared" si="13"/>
        <v>0</v>
      </c>
      <c r="K109" s="479"/>
      <c r="L109" s="488"/>
      <c r="M109" s="479">
        <f t="shared" si="21"/>
        <v>0</v>
      </c>
      <c r="N109" s="488"/>
      <c r="O109" s="479">
        <f t="shared" si="14"/>
        <v>0</v>
      </c>
      <c r="P109" s="479">
        <f t="shared" si="15"/>
        <v>0</v>
      </c>
    </row>
    <row r="110" spans="1:16" ht="12.5">
      <c r="B110" s="160" t="str">
        <f t="shared" si="16"/>
        <v/>
      </c>
      <c r="C110" s="473">
        <f>IF(D93="","-",+C109+1)</f>
        <v>2029</v>
      </c>
      <c r="D110" s="347">
        <f>IF(F109+SUM(E$99:E109)=D$92,F109,D$92-SUM(E$99:E109))</f>
        <v>1015687</v>
      </c>
      <c r="E110" s="485">
        <f t="shared" si="17"/>
        <v>31288</v>
      </c>
      <c r="F110" s="486">
        <f t="shared" si="18"/>
        <v>984399</v>
      </c>
      <c r="G110" s="486">
        <f t="shared" si="19"/>
        <v>1000043</v>
      </c>
      <c r="H110" s="487">
        <f t="shared" si="22"/>
        <v>146590.2085084726</v>
      </c>
      <c r="I110" s="543">
        <f t="shared" si="23"/>
        <v>146590.2085084726</v>
      </c>
      <c r="J110" s="479">
        <f t="shared" si="13"/>
        <v>0</v>
      </c>
      <c r="K110" s="479"/>
      <c r="L110" s="488"/>
      <c r="M110" s="479">
        <f t="shared" si="21"/>
        <v>0</v>
      </c>
      <c r="N110" s="488"/>
      <c r="O110" s="479">
        <f t="shared" si="14"/>
        <v>0</v>
      </c>
      <c r="P110" s="479">
        <f t="shared" si="15"/>
        <v>0</v>
      </c>
    </row>
    <row r="111" spans="1:16" ht="12.5">
      <c r="B111" s="160" t="str">
        <f t="shared" si="16"/>
        <v/>
      </c>
      <c r="C111" s="473">
        <f>IF(D93="","-",+C110+1)</f>
        <v>2030</v>
      </c>
      <c r="D111" s="347">
        <f>IF(F110+SUM(E$99:E110)=D$92,F110,D$92-SUM(E$99:E110))</f>
        <v>984399</v>
      </c>
      <c r="E111" s="485">
        <f t="shared" si="17"/>
        <v>31288</v>
      </c>
      <c r="F111" s="486">
        <f t="shared" si="18"/>
        <v>953111</v>
      </c>
      <c r="G111" s="486">
        <f t="shared" si="19"/>
        <v>968755</v>
      </c>
      <c r="H111" s="487">
        <f t="shared" si="22"/>
        <v>142982.7881277359</v>
      </c>
      <c r="I111" s="543">
        <f t="shared" si="23"/>
        <v>142982.7881277359</v>
      </c>
      <c r="J111" s="479">
        <f t="shared" si="13"/>
        <v>0</v>
      </c>
      <c r="K111" s="479"/>
      <c r="L111" s="488"/>
      <c r="M111" s="479">
        <f t="shared" si="21"/>
        <v>0</v>
      </c>
      <c r="N111" s="488"/>
      <c r="O111" s="479">
        <f t="shared" si="14"/>
        <v>0</v>
      </c>
      <c r="P111" s="479">
        <f t="shared" si="15"/>
        <v>0</v>
      </c>
    </row>
    <row r="112" spans="1:16" ht="12.5">
      <c r="B112" s="160" t="str">
        <f t="shared" si="16"/>
        <v/>
      </c>
      <c r="C112" s="473">
        <f>IF(D93="","-",+C111+1)</f>
        <v>2031</v>
      </c>
      <c r="D112" s="347">
        <f>IF(F111+SUM(E$99:E111)=D$92,F111,D$92-SUM(E$99:E111))</f>
        <v>953111</v>
      </c>
      <c r="E112" s="485">
        <f t="shared" si="17"/>
        <v>31288</v>
      </c>
      <c r="F112" s="486">
        <f t="shared" si="18"/>
        <v>921823</v>
      </c>
      <c r="G112" s="486">
        <f t="shared" si="19"/>
        <v>937467</v>
      </c>
      <c r="H112" s="487">
        <f t="shared" si="22"/>
        <v>139375.36774699917</v>
      </c>
      <c r="I112" s="543">
        <f t="shared" si="23"/>
        <v>139375.36774699917</v>
      </c>
      <c r="J112" s="479">
        <f t="shared" si="13"/>
        <v>0</v>
      </c>
      <c r="K112" s="479"/>
      <c r="L112" s="488"/>
      <c r="M112" s="479">
        <f t="shared" si="21"/>
        <v>0</v>
      </c>
      <c r="N112" s="488"/>
      <c r="O112" s="479">
        <f t="shared" si="14"/>
        <v>0</v>
      </c>
      <c r="P112" s="479">
        <f t="shared" si="15"/>
        <v>0</v>
      </c>
    </row>
    <row r="113" spans="2:16" ht="12.5">
      <c r="B113" s="160" t="str">
        <f t="shared" si="16"/>
        <v/>
      </c>
      <c r="C113" s="473">
        <f>IF(D93="","-",+C112+1)</f>
        <v>2032</v>
      </c>
      <c r="D113" s="347">
        <f>IF(F112+SUM(E$99:E112)=D$92,F112,D$92-SUM(E$99:E112))</f>
        <v>921823</v>
      </c>
      <c r="E113" s="485">
        <f t="shared" si="17"/>
        <v>31288</v>
      </c>
      <c r="F113" s="486">
        <f t="shared" si="18"/>
        <v>890535</v>
      </c>
      <c r="G113" s="486">
        <f t="shared" si="19"/>
        <v>906179</v>
      </c>
      <c r="H113" s="487">
        <f t="shared" si="22"/>
        <v>135767.94736626244</v>
      </c>
      <c r="I113" s="543">
        <f t="shared" si="23"/>
        <v>135767.94736626244</v>
      </c>
      <c r="J113" s="479">
        <f t="shared" si="13"/>
        <v>0</v>
      </c>
      <c r="K113" s="479"/>
      <c r="L113" s="488"/>
      <c r="M113" s="479">
        <f t="shared" si="21"/>
        <v>0</v>
      </c>
      <c r="N113" s="488"/>
      <c r="O113" s="479">
        <f t="shared" si="14"/>
        <v>0</v>
      </c>
      <c r="P113" s="479">
        <f t="shared" si="15"/>
        <v>0</v>
      </c>
    </row>
    <row r="114" spans="2:16" ht="12.5">
      <c r="B114" s="160" t="str">
        <f t="shared" si="16"/>
        <v/>
      </c>
      <c r="C114" s="473">
        <f>IF(D93="","-",+C113+1)</f>
        <v>2033</v>
      </c>
      <c r="D114" s="347">
        <f>IF(F113+SUM(E$99:E113)=D$92,F113,D$92-SUM(E$99:E113))</f>
        <v>890535</v>
      </c>
      <c r="E114" s="485">
        <f t="shared" si="17"/>
        <v>31288</v>
      </c>
      <c r="F114" s="486">
        <f t="shared" si="18"/>
        <v>859247</v>
      </c>
      <c r="G114" s="486">
        <f t="shared" si="19"/>
        <v>874891</v>
      </c>
      <c r="H114" s="487">
        <f t="shared" si="22"/>
        <v>132160.52698552574</v>
      </c>
      <c r="I114" s="543">
        <f t="shared" si="23"/>
        <v>132160.52698552574</v>
      </c>
      <c r="J114" s="479">
        <f t="shared" si="13"/>
        <v>0</v>
      </c>
      <c r="K114" s="479"/>
      <c r="L114" s="488"/>
      <c r="M114" s="479">
        <f t="shared" si="21"/>
        <v>0</v>
      </c>
      <c r="N114" s="488"/>
      <c r="O114" s="479">
        <f t="shared" si="14"/>
        <v>0</v>
      </c>
      <c r="P114" s="479">
        <f t="shared" si="15"/>
        <v>0</v>
      </c>
    </row>
    <row r="115" spans="2:16" ht="12.5">
      <c r="B115" s="160" t="str">
        <f t="shared" si="16"/>
        <v/>
      </c>
      <c r="C115" s="473">
        <f>IF(D93="","-",+C114+1)</f>
        <v>2034</v>
      </c>
      <c r="D115" s="347">
        <f>IF(F114+SUM(E$99:E114)=D$92,F114,D$92-SUM(E$99:E114))</f>
        <v>859247</v>
      </c>
      <c r="E115" s="485">
        <f t="shared" si="17"/>
        <v>31288</v>
      </c>
      <c r="F115" s="486">
        <f t="shared" si="18"/>
        <v>827959</v>
      </c>
      <c r="G115" s="486">
        <f t="shared" si="19"/>
        <v>843603</v>
      </c>
      <c r="H115" s="487">
        <f t="shared" si="22"/>
        <v>128553.10660478902</v>
      </c>
      <c r="I115" s="543">
        <f t="shared" si="23"/>
        <v>128553.10660478902</v>
      </c>
      <c r="J115" s="479">
        <f t="shared" si="13"/>
        <v>0</v>
      </c>
      <c r="K115" s="479"/>
      <c r="L115" s="488"/>
      <c r="M115" s="479">
        <f t="shared" si="21"/>
        <v>0</v>
      </c>
      <c r="N115" s="488"/>
      <c r="O115" s="479">
        <f t="shared" si="14"/>
        <v>0</v>
      </c>
      <c r="P115" s="479">
        <f t="shared" si="15"/>
        <v>0</v>
      </c>
    </row>
    <row r="116" spans="2:16" ht="12.5">
      <c r="B116" s="160" t="str">
        <f t="shared" si="16"/>
        <v/>
      </c>
      <c r="C116" s="473">
        <f>IF(D93="","-",+C115+1)</f>
        <v>2035</v>
      </c>
      <c r="D116" s="347">
        <f>IF(F115+SUM(E$99:E115)=D$92,F115,D$92-SUM(E$99:E115))</f>
        <v>827959</v>
      </c>
      <c r="E116" s="485">
        <f t="shared" si="17"/>
        <v>31288</v>
      </c>
      <c r="F116" s="486">
        <f t="shared" si="18"/>
        <v>796671</v>
      </c>
      <c r="G116" s="486">
        <f t="shared" si="19"/>
        <v>812315</v>
      </c>
      <c r="H116" s="487">
        <f t="shared" si="22"/>
        <v>124945.68622405229</v>
      </c>
      <c r="I116" s="543">
        <f t="shared" si="23"/>
        <v>124945.68622405229</v>
      </c>
      <c r="J116" s="479">
        <f t="shared" si="13"/>
        <v>0</v>
      </c>
      <c r="K116" s="479"/>
      <c r="L116" s="488"/>
      <c r="M116" s="479">
        <f t="shared" si="21"/>
        <v>0</v>
      </c>
      <c r="N116" s="488"/>
      <c r="O116" s="479">
        <f t="shared" si="14"/>
        <v>0</v>
      </c>
      <c r="P116" s="479">
        <f t="shared" si="15"/>
        <v>0</v>
      </c>
    </row>
    <row r="117" spans="2:16" ht="12.5">
      <c r="B117" s="160" t="str">
        <f t="shared" si="16"/>
        <v/>
      </c>
      <c r="C117" s="473">
        <f>IF(D93="","-",+C116+1)</f>
        <v>2036</v>
      </c>
      <c r="D117" s="347">
        <f>IF(F116+SUM(E$99:E116)=D$92,F116,D$92-SUM(E$99:E116))</f>
        <v>796671</v>
      </c>
      <c r="E117" s="485">
        <f t="shared" si="17"/>
        <v>31288</v>
      </c>
      <c r="F117" s="486">
        <f t="shared" si="18"/>
        <v>765383</v>
      </c>
      <c r="G117" s="486">
        <f t="shared" si="19"/>
        <v>781027</v>
      </c>
      <c r="H117" s="487">
        <f t="shared" si="22"/>
        <v>121338.26584331557</v>
      </c>
      <c r="I117" s="543">
        <f t="shared" si="23"/>
        <v>121338.26584331557</v>
      </c>
      <c r="J117" s="479">
        <f t="shared" si="13"/>
        <v>0</v>
      </c>
      <c r="K117" s="479"/>
      <c r="L117" s="488"/>
      <c r="M117" s="479">
        <f t="shared" si="21"/>
        <v>0</v>
      </c>
      <c r="N117" s="488"/>
      <c r="O117" s="479">
        <f t="shared" si="14"/>
        <v>0</v>
      </c>
      <c r="P117" s="479">
        <f t="shared" si="15"/>
        <v>0</v>
      </c>
    </row>
    <row r="118" spans="2:16" ht="12.5">
      <c r="B118" s="160" t="str">
        <f t="shared" si="16"/>
        <v/>
      </c>
      <c r="C118" s="473">
        <f>IF(D93="","-",+C117+1)</f>
        <v>2037</v>
      </c>
      <c r="D118" s="347">
        <f>IF(F117+SUM(E$99:E117)=D$92,F117,D$92-SUM(E$99:E117))</f>
        <v>765383</v>
      </c>
      <c r="E118" s="485">
        <f t="shared" si="17"/>
        <v>31288</v>
      </c>
      <c r="F118" s="486">
        <f t="shared" si="18"/>
        <v>734095</v>
      </c>
      <c r="G118" s="486">
        <f t="shared" si="19"/>
        <v>749739</v>
      </c>
      <c r="H118" s="487">
        <f t="shared" si="22"/>
        <v>117730.84546257886</v>
      </c>
      <c r="I118" s="543">
        <f t="shared" si="23"/>
        <v>117730.84546257886</v>
      </c>
      <c r="J118" s="479">
        <f t="shared" si="13"/>
        <v>0</v>
      </c>
      <c r="K118" s="479"/>
      <c r="L118" s="488"/>
      <c r="M118" s="479">
        <f t="shared" si="21"/>
        <v>0</v>
      </c>
      <c r="N118" s="488"/>
      <c r="O118" s="479">
        <f t="shared" si="14"/>
        <v>0</v>
      </c>
      <c r="P118" s="479">
        <f t="shared" si="15"/>
        <v>0</v>
      </c>
    </row>
    <row r="119" spans="2:16" ht="12.5">
      <c r="B119" s="160" t="str">
        <f t="shared" si="16"/>
        <v/>
      </c>
      <c r="C119" s="473">
        <f>IF(D93="","-",+C118+1)</f>
        <v>2038</v>
      </c>
      <c r="D119" s="347">
        <f>IF(F118+SUM(E$99:E118)=D$92,F118,D$92-SUM(E$99:E118))</f>
        <v>734095</v>
      </c>
      <c r="E119" s="485">
        <f t="shared" si="17"/>
        <v>31288</v>
      </c>
      <c r="F119" s="486">
        <f t="shared" si="18"/>
        <v>702807</v>
      </c>
      <c r="G119" s="486">
        <f t="shared" si="19"/>
        <v>718451</v>
      </c>
      <c r="H119" s="487">
        <f t="shared" si="22"/>
        <v>114123.42508184214</v>
      </c>
      <c r="I119" s="543">
        <f t="shared" si="23"/>
        <v>114123.42508184214</v>
      </c>
      <c r="J119" s="479">
        <f t="shared" si="13"/>
        <v>0</v>
      </c>
      <c r="K119" s="479"/>
      <c r="L119" s="488"/>
      <c r="M119" s="479">
        <f t="shared" si="21"/>
        <v>0</v>
      </c>
      <c r="N119" s="488"/>
      <c r="O119" s="479">
        <f t="shared" si="14"/>
        <v>0</v>
      </c>
      <c r="P119" s="479">
        <f t="shared" si="15"/>
        <v>0</v>
      </c>
    </row>
    <row r="120" spans="2:16" ht="12.5">
      <c r="B120" s="160" t="str">
        <f t="shared" si="16"/>
        <v/>
      </c>
      <c r="C120" s="473">
        <f>IF(D93="","-",+C119+1)</f>
        <v>2039</v>
      </c>
      <c r="D120" s="347">
        <f>IF(F119+SUM(E$99:E119)=D$92,F119,D$92-SUM(E$99:E119))</f>
        <v>702807</v>
      </c>
      <c r="E120" s="485">
        <f t="shared" si="17"/>
        <v>31288</v>
      </c>
      <c r="F120" s="486">
        <f t="shared" si="18"/>
        <v>671519</v>
      </c>
      <c r="G120" s="486">
        <f t="shared" si="19"/>
        <v>687163</v>
      </c>
      <c r="H120" s="487">
        <f t="shared" si="22"/>
        <v>110516.00470110541</v>
      </c>
      <c r="I120" s="543">
        <f t="shared" si="23"/>
        <v>110516.00470110541</v>
      </c>
      <c r="J120" s="479">
        <f t="shared" si="13"/>
        <v>0</v>
      </c>
      <c r="K120" s="479"/>
      <c r="L120" s="488"/>
      <c r="M120" s="479">
        <f t="shared" si="21"/>
        <v>0</v>
      </c>
      <c r="N120" s="488"/>
      <c r="O120" s="479">
        <f t="shared" si="14"/>
        <v>0</v>
      </c>
      <c r="P120" s="479">
        <f t="shared" si="15"/>
        <v>0</v>
      </c>
    </row>
    <row r="121" spans="2:16" ht="12.5">
      <c r="B121" s="160" t="str">
        <f t="shared" si="16"/>
        <v/>
      </c>
      <c r="C121" s="473">
        <f>IF(D93="","-",+C120+1)</f>
        <v>2040</v>
      </c>
      <c r="D121" s="347">
        <f>IF(F120+SUM(E$99:E120)=D$92,F120,D$92-SUM(E$99:E120))</f>
        <v>671519</v>
      </c>
      <c r="E121" s="485">
        <f t="shared" si="17"/>
        <v>31288</v>
      </c>
      <c r="F121" s="486">
        <f t="shared" si="18"/>
        <v>640231</v>
      </c>
      <c r="G121" s="486">
        <f t="shared" si="19"/>
        <v>655875</v>
      </c>
      <c r="H121" s="487">
        <f t="shared" si="22"/>
        <v>106908.5843203687</v>
      </c>
      <c r="I121" s="543">
        <f t="shared" si="23"/>
        <v>106908.5843203687</v>
      </c>
      <c r="J121" s="479">
        <f t="shared" si="13"/>
        <v>0</v>
      </c>
      <c r="K121" s="479"/>
      <c r="L121" s="488"/>
      <c r="M121" s="479">
        <f t="shared" si="21"/>
        <v>0</v>
      </c>
      <c r="N121" s="488"/>
      <c r="O121" s="479">
        <f t="shared" si="14"/>
        <v>0</v>
      </c>
      <c r="P121" s="479">
        <f t="shared" si="15"/>
        <v>0</v>
      </c>
    </row>
    <row r="122" spans="2:16" ht="12.5">
      <c r="B122" s="160" t="str">
        <f t="shared" si="16"/>
        <v/>
      </c>
      <c r="C122" s="473">
        <f>IF(D93="","-",+C121+1)</f>
        <v>2041</v>
      </c>
      <c r="D122" s="347">
        <f>IF(F121+SUM(E$99:E121)=D$92,F121,D$92-SUM(E$99:E121))</f>
        <v>640231</v>
      </c>
      <c r="E122" s="485">
        <f t="shared" si="17"/>
        <v>31288</v>
      </c>
      <c r="F122" s="486">
        <f t="shared" si="18"/>
        <v>608943</v>
      </c>
      <c r="G122" s="486">
        <f t="shared" si="19"/>
        <v>624587</v>
      </c>
      <c r="H122" s="487">
        <f t="shared" si="22"/>
        <v>103301.16393963198</v>
      </c>
      <c r="I122" s="543">
        <f t="shared" si="23"/>
        <v>103301.16393963198</v>
      </c>
      <c r="J122" s="479">
        <f t="shared" si="13"/>
        <v>0</v>
      </c>
      <c r="K122" s="479"/>
      <c r="L122" s="488"/>
      <c r="M122" s="479">
        <f t="shared" si="21"/>
        <v>0</v>
      </c>
      <c r="N122" s="488"/>
      <c r="O122" s="479">
        <f t="shared" si="14"/>
        <v>0</v>
      </c>
      <c r="P122" s="479">
        <f t="shared" si="15"/>
        <v>0</v>
      </c>
    </row>
    <row r="123" spans="2:16" ht="12.5">
      <c r="B123" s="160" t="str">
        <f t="shared" si="16"/>
        <v/>
      </c>
      <c r="C123" s="473">
        <f>IF(D93="","-",+C122+1)</f>
        <v>2042</v>
      </c>
      <c r="D123" s="347">
        <f>IF(F122+SUM(E$99:E122)=D$92,F122,D$92-SUM(E$99:E122))</f>
        <v>608943</v>
      </c>
      <c r="E123" s="485">
        <f t="shared" si="17"/>
        <v>31288</v>
      </c>
      <c r="F123" s="486">
        <f t="shared" si="18"/>
        <v>577655</v>
      </c>
      <c r="G123" s="486">
        <f t="shared" si="19"/>
        <v>593299</v>
      </c>
      <c r="H123" s="487">
        <f t="shared" si="22"/>
        <v>99693.743558895265</v>
      </c>
      <c r="I123" s="543">
        <f t="shared" si="23"/>
        <v>99693.743558895265</v>
      </c>
      <c r="J123" s="479">
        <f t="shared" si="13"/>
        <v>0</v>
      </c>
      <c r="K123" s="479"/>
      <c r="L123" s="488"/>
      <c r="M123" s="479">
        <f t="shared" si="21"/>
        <v>0</v>
      </c>
      <c r="N123" s="488"/>
      <c r="O123" s="479">
        <f t="shared" si="14"/>
        <v>0</v>
      </c>
      <c r="P123" s="479">
        <f t="shared" si="15"/>
        <v>0</v>
      </c>
    </row>
    <row r="124" spans="2:16" ht="12.5">
      <c r="B124" s="160" t="str">
        <f t="shared" si="16"/>
        <v/>
      </c>
      <c r="C124" s="473">
        <f>IF(D93="","-",+C123+1)</f>
        <v>2043</v>
      </c>
      <c r="D124" s="347">
        <f>IF(F123+SUM(E$99:E123)=D$92,F123,D$92-SUM(E$99:E123))</f>
        <v>577655</v>
      </c>
      <c r="E124" s="485">
        <f t="shared" si="17"/>
        <v>31288</v>
      </c>
      <c r="F124" s="486">
        <f t="shared" si="18"/>
        <v>546367</v>
      </c>
      <c r="G124" s="486">
        <f t="shared" si="19"/>
        <v>562011</v>
      </c>
      <c r="H124" s="487">
        <f t="shared" si="22"/>
        <v>96086.323178158549</v>
      </c>
      <c r="I124" s="543">
        <f t="shared" si="23"/>
        <v>96086.323178158549</v>
      </c>
      <c r="J124" s="479">
        <f t="shared" si="13"/>
        <v>0</v>
      </c>
      <c r="K124" s="479"/>
      <c r="L124" s="488"/>
      <c r="M124" s="479">
        <f t="shared" si="21"/>
        <v>0</v>
      </c>
      <c r="N124" s="488"/>
      <c r="O124" s="479">
        <f t="shared" si="14"/>
        <v>0</v>
      </c>
      <c r="P124" s="479">
        <f t="shared" si="15"/>
        <v>0</v>
      </c>
    </row>
    <row r="125" spans="2:16" ht="12.5">
      <c r="B125" s="160" t="str">
        <f t="shared" si="16"/>
        <v/>
      </c>
      <c r="C125" s="473">
        <f>IF(D93="","-",+C124+1)</f>
        <v>2044</v>
      </c>
      <c r="D125" s="347">
        <f>IF(F124+SUM(E$99:E124)=D$92,F124,D$92-SUM(E$99:E124))</f>
        <v>546367</v>
      </c>
      <c r="E125" s="485">
        <f t="shared" si="17"/>
        <v>31288</v>
      </c>
      <c r="F125" s="486">
        <f t="shared" si="18"/>
        <v>515079</v>
      </c>
      <c r="G125" s="486">
        <f t="shared" si="19"/>
        <v>530723</v>
      </c>
      <c r="H125" s="487">
        <f t="shared" si="22"/>
        <v>92478.902797421819</v>
      </c>
      <c r="I125" s="543">
        <f t="shared" si="23"/>
        <v>92478.902797421819</v>
      </c>
      <c r="J125" s="479">
        <f t="shared" si="13"/>
        <v>0</v>
      </c>
      <c r="K125" s="479"/>
      <c r="L125" s="488"/>
      <c r="M125" s="479">
        <f t="shared" si="21"/>
        <v>0</v>
      </c>
      <c r="N125" s="488"/>
      <c r="O125" s="479">
        <f t="shared" si="14"/>
        <v>0</v>
      </c>
      <c r="P125" s="479">
        <f t="shared" si="15"/>
        <v>0</v>
      </c>
    </row>
    <row r="126" spans="2:16" ht="12.5">
      <c r="B126" s="160" t="str">
        <f t="shared" si="16"/>
        <v/>
      </c>
      <c r="C126" s="473">
        <f>IF(D93="","-",+C125+1)</f>
        <v>2045</v>
      </c>
      <c r="D126" s="347">
        <f>IF(F125+SUM(E$99:E125)=D$92,F125,D$92-SUM(E$99:E125))</f>
        <v>515079</v>
      </c>
      <c r="E126" s="485">
        <f t="shared" si="17"/>
        <v>31288</v>
      </c>
      <c r="F126" s="486">
        <f t="shared" si="18"/>
        <v>483791</v>
      </c>
      <c r="G126" s="486">
        <f t="shared" si="19"/>
        <v>499435</v>
      </c>
      <c r="H126" s="487">
        <f t="shared" si="22"/>
        <v>88871.482416685103</v>
      </c>
      <c r="I126" s="543">
        <f t="shared" si="23"/>
        <v>88871.482416685103</v>
      </c>
      <c r="J126" s="479">
        <f t="shared" si="13"/>
        <v>0</v>
      </c>
      <c r="K126" s="479"/>
      <c r="L126" s="488"/>
      <c r="M126" s="479">
        <f t="shared" si="21"/>
        <v>0</v>
      </c>
      <c r="N126" s="488"/>
      <c r="O126" s="479">
        <f t="shared" si="14"/>
        <v>0</v>
      </c>
      <c r="P126" s="479">
        <f t="shared" si="15"/>
        <v>0</v>
      </c>
    </row>
    <row r="127" spans="2:16" ht="12.5">
      <c r="B127" s="160" t="str">
        <f t="shared" si="16"/>
        <v/>
      </c>
      <c r="C127" s="473">
        <f>IF(D93="","-",+C126+1)</f>
        <v>2046</v>
      </c>
      <c r="D127" s="347">
        <f>IF(F126+SUM(E$99:E126)=D$92,F126,D$92-SUM(E$99:E126))</f>
        <v>483791</v>
      </c>
      <c r="E127" s="485">
        <f t="shared" si="17"/>
        <v>31288</v>
      </c>
      <c r="F127" s="486">
        <f t="shared" si="18"/>
        <v>452503</v>
      </c>
      <c r="G127" s="486">
        <f t="shared" si="19"/>
        <v>468147</v>
      </c>
      <c r="H127" s="487">
        <f t="shared" si="22"/>
        <v>85264.062035948387</v>
      </c>
      <c r="I127" s="543">
        <f t="shared" si="23"/>
        <v>85264.062035948387</v>
      </c>
      <c r="J127" s="479">
        <f t="shared" si="13"/>
        <v>0</v>
      </c>
      <c r="K127" s="479"/>
      <c r="L127" s="488"/>
      <c r="M127" s="479">
        <f t="shared" si="21"/>
        <v>0</v>
      </c>
      <c r="N127" s="488"/>
      <c r="O127" s="479">
        <f t="shared" si="14"/>
        <v>0</v>
      </c>
      <c r="P127" s="479">
        <f t="shared" si="15"/>
        <v>0</v>
      </c>
    </row>
    <row r="128" spans="2:16" ht="12.5">
      <c r="B128" s="160" t="str">
        <f t="shared" si="16"/>
        <v/>
      </c>
      <c r="C128" s="473">
        <f>IF(D93="","-",+C127+1)</f>
        <v>2047</v>
      </c>
      <c r="D128" s="347">
        <f>IF(F127+SUM(E$99:E127)=D$92,F127,D$92-SUM(E$99:E127))</f>
        <v>452503</v>
      </c>
      <c r="E128" s="485">
        <f t="shared" si="17"/>
        <v>31288</v>
      </c>
      <c r="F128" s="486">
        <f t="shared" si="18"/>
        <v>421215</v>
      </c>
      <c r="G128" s="486">
        <f t="shared" si="19"/>
        <v>436859</v>
      </c>
      <c r="H128" s="487">
        <f t="shared" si="22"/>
        <v>81656.641655211657</v>
      </c>
      <c r="I128" s="543">
        <f t="shared" si="23"/>
        <v>81656.641655211657</v>
      </c>
      <c r="J128" s="479">
        <f t="shared" si="13"/>
        <v>0</v>
      </c>
      <c r="K128" s="479"/>
      <c r="L128" s="488"/>
      <c r="M128" s="479">
        <f t="shared" si="21"/>
        <v>0</v>
      </c>
      <c r="N128" s="488"/>
      <c r="O128" s="479">
        <f t="shared" si="14"/>
        <v>0</v>
      </c>
      <c r="P128" s="479">
        <f t="shared" si="15"/>
        <v>0</v>
      </c>
    </row>
    <row r="129" spans="2:16" ht="12.5">
      <c r="B129" s="160" t="str">
        <f t="shared" si="16"/>
        <v/>
      </c>
      <c r="C129" s="473">
        <f>IF(D93="","-",+C128+1)</f>
        <v>2048</v>
      </c>
      <c r="D129" s="347">
        <f>IF(F128+SUM(E$99:E128)=D$92,F128,D$92-SUM(E$99:E128))</f>
        <v>421215</v>
      </c>
      <c r="E129" s="485">
        <f t="shared" si="17"/>
        <v>31288</v>
      </c>
      <c r="F129" s="486">
        <f t="shared" si="18"/>
        <v>389927</v>
      </c>
      <c r="G129" s="486">
        <f t="shared" si="19"/>
        <v>405571</v>
      </c>
      <c r="H129" s="487">
        <f t="shared" si="22"/>
        <v>78049.221274474941</v>
      </c>
      <c r="I129" s="543">
        <f t="shared" si="23"/>
        <v>78049.221274474941</v>
      </c>
      <c r="J129" s="479">
        <f t="shared" si="13"/>
        <v>0</v>
      </c>
      <c r="K129" s="479"/>
      <c r="L129" s="488"/>
      <c r="M129" s="479">
        <f t="shared" si="21"/>
        <v>0</v>
      </c>
      <c r="N129" s="488"/>
      <c r="O129" s="479">
        <f t="shared" si="14"/>
        <v>0</v>
      </c>
      <c r="P129" s="479">
        <f t="shared" si="15"/>
        <v>0</v>
      </c>
    </row>
    <row r="130" spans="2:16" ht="12.5">
      <c r="B130" s="160" t="str">
        <f t="shared" si="16"/>
        <v/>
      </c>
      <c r="C130" s="473">
        <f>IF(D93="","-",+C129+1)</f>
        <v>2049</v>
      </c>
      <c r="D130" s="347">
        <f>IF(F129+SUM(E$99:E129)=D$92,F129,D$92-SUM(E$99:E129))</f>
        <v>389927</v>
      </c>
      <c r="E130" s="485">
        <f t="shared" si="17"/>
        <v>31288</v>
      </c>
      <c r="F130" s="486">
        <f t="shared" si="18"/>
        <v>358639</v>
      </c>
      <c r="G130" s="486">
        <f t="shared" si="19"/>
        <v>374283</v>
      </c>
      <c r="H130" s="487">
        <f t="shared" si="22"/>
        <v>74441.800893738226</v>
      </c>
      <c r="I130" s="543">
        <f t="shared" si="23"/>
        <v>74441.800893738226</v>
      </c>
      <c r="J130" s="479">
        <f t="shared" si="13"/>
        <v>0</v>
      </c>
      <c r="K130" s="479"/>
      <c r="L130" s="488"/>
      <c r="M130" s="479">
        <f t="shared" si="21"/>
        <v>0</v>
      </c>
      <c r="N130" s="488"/>
      <c r="O130" s="479">
        <f t="shared" si="14"/>
        <v>0</v>
      </c>
      <c r="P130" s="479">
        <f t="shared" si="15"/>
        <v>0</v>
      </c>
    </row>
    <row r="131" spans="2:16" ht="12.5">
      <c r="B131" s="160" t="str">
        <f t="shared" si="16"/>
        <v/>
      </c>
      <c r="C131" s="473">
        <f>IF(D93="","-",+C130+1)</f>
        <v>2050</v>
      </c>
      <c r="D131" s="347">
        <f>IF(F130+SUM(E$99:E130)=D$92,F130,D$92-SUM(E$99:E130))</f>
        <v>358639</v>
      </c>
      <c r="E131" s="485">
        <f t="shared" si="17"/>
        <v>31288</v>
      </c>
      <c r="F131" s="486">
        <f t="shared" si="18"/>
        <v>327351</v>
      </c>
      <c r="G131" s="486">
        <f t="shared" si="19"/>
        <v>342995</v>
      </c>
      <c r="H131" s="487">
        <f t="shared" si="22"/>
        <v>70834.380513001495</v>
      </c>
      <c r="I131" s="543">
        <f t="shared" si="23"/>
        <v>70834.380513001495</v>
      </c>
      <c r="J131" s="479">
        <f t="shared" ref="J131:J154" si="24">+I541-H541</f>
        <v>0</v>
      </c>
      <c r="K131" s="479"/>
      <c r="L131" s="488"/>
      <c r="M131" s="479">
        <f t="shared" ref="M131:M154" si="25">IF(L541&lt;&gt;0,+H541-L541,0)</f>
        <v>0</v>
      </c>
      <c r="N131" s="488"/>
      <c r="O131" s="479">
        <f t="shared" ref="O131:O154" si="26">IF(N541&lt;&gt;0,+I541-N541,0)</f>
        <v>0</v>
      </c>
      <c r="P131" s="479">
        <f t="shared" ref="P131:P154" si="27">+O541-M541</f>
        <v>0</v>
      </c>
    </row>
    <row r="132" spans="2:16" ht="12.5">
      <c r="B132" s="160" t="str">
        <f t="shared" si="16"/>
        <v/>
      </c>
      <c r="C132" s="473">
        <f>IF(D93="","-",+C131+1)</f>
        <v>2051</v>
      </c>
      <c r="D132" s="347">
        <f>IF(F131+SUM(E$99:E131)=D$92,F131,D$92-SUM(E$99:E131))</f>
        <v>327351</v>
      </c>
      <c r="E132" s="485">
        <f t="shared" si="17"/>
        <v>31288</v>
      </c>
      <c r="F132" s="486">
        <f t="shared" si="18"/>
        <v>296063</v>
      </c>
      <c r="G132" s="486">
        <f t="shared" si="19"/>
        <v>311707</v>
      </c>
      <c r="H132" s="487">
        <f t="shared" si="22"/>
        <v>67226.960132264794</v>
      </c>
      <c r="I132" s="543">
        <f t="shared" si="23"/>
        <v>67226.960132264794</v>
      </c>
      <c r="J132" s="479">
        <f t="shared" si="24"/>
        <v>0</v>
      </c>
      <c r="K132" s="479"/>
      <c r="L132" s="488"/>
      <c r="M132" s="479">
        <f t="shared" si="25"/>
        <v>0</v>
      </c>
      <c r="N132" s="488"/>
      <c r="O132" s="479">
        <f t="shared" si="26"/>
        <v>0</v>
      </c>
      <c r="P132" s="479">
        <f t="shared" si="27"/>
        <v>0</v>
      </c>
    </row>
    <row r="133" spans="2:16" ht="12.5">
      <c r="B133" s="160" t="str">
        <f t="shared" si="16"/>
        <v/>
      </c>
      <c r="C133" s="473">
        <f>IF(D93="","-",+C132+1)</f>
        <v>2052</v>
      </c>
      <c r="D133" s="347">
        <f>IF(F132+SUM(E$99:E132)=D$92,F132,D$92-SUM(E$99:E132))</f>
        <v>296063</v>
      </c>
      <c r="E133" s="485">
        <f t="shared" si="17"/>
        <v>31288</v>
      </c>
      <c r="F133" s="486">
        <f t="shared" si="18"/>
        <v>264775</v>
      </c>
      <c r="G133" s="486">
        <f t="shared" si="19"/>
        <v>280419</v>
      </c>
      <c r="H133" s="487">
        <f t="shared" si="22"/>
        <v>63619.539751528064</v>
      </c>
      <c r="I133" s="543">
        <f t="shared" si="23"/>
        <v>63619.539751528064</v>
      </c>
      <c r="J133" s="479">
        <f t="shared" si="24"/>
        <v>0</v>
      </c>
      <c r="K133" s="479"/>
      <c r="L133" s="488"/>
      <c r="M133" s="479">
        <f t="shared" si="25"/>
        <v>0</v>
      </c>
      <c r="N133" s="488"/>
      <c r="O133" s="479">
        <f t="shared" si="26"/>
        <v>0</v>
      </c>
      <c r="P133" s="479">
        <f t="shared" si="27"/>
        <v>0</v>
      </c>
    </row>
    <row r="134" spans="2:16" ht="12.5">
      <c r="B134" s="160" t="str">
        <f t="shared" si="16"/>
        <v/>
      </c>
      <c r="C134" s="473">
        <f>IF(D93="","-",+C133+1)</f>
        <v>2053</v>
      </c>
      <c r="D134" s="347">
        <f>IF(F133+SUM(E$99:E133)=D$92,F133,D$92-SUM(E$99:E133))</f>
        <v>264775</v>
      </c>
      <c r="E134" s="485">
        <f t="shared" si="17"/>
        <v>31288</v>
      </c>
      <c r="F134" s="486">
        <f t="shared" si="18"/>
        <v>233487</v>
      </c>
      <c r="G134" s="486">
        <f t="shared" si="19"/>
        <v>249131</v>
      </c>
      <c r="H134" s="487">
        <f t="shared" si="22"/>
        <v>60012.119370791348</v>
      </c>
      <c r="I134" s="543">
        <f t="shared" si="23"/>
        <v>60012.119370791348</v>
      </c>
      <c r="J134" s="479">
        <f t="shared" si="24"/>
        <v>0</v>
      </c>
      <c r="K134" s="479"/>
      <c r="L134" s="488"/>
      <c r="M134" s="479">
        <f t="shared" si="25"/>
        <v>0</v>
      </c>
      <c r="N134" s="488"/>
      <c r="O134" s="479">
        <f t="shared" si="26"/>
        <v>0</v>
      </c>
      <c r="P134" s="479">
        <f t="shared" si="27"/>
        <v>0</v>
      </c>
    </row>
    <row r="135" spans="2:16" ht="12.5">
      <c r="B135" s="160" t="str">
        <f t="shared" si="16"/>
        <v/>
      </c>
      <c r="C135" s="473">
        <f>IF(D93="","-",+C134+1)</f>
        <v>2054</v>
      </c>
      <c r="D135" s="347">
        <f>IF(F134+SUM(E$99:E134)=D$92,F134,D$92-SUM(E$99:E134))</f>
        <v>233487</v>
      </c>
      <c r="E135" s="485">
        <f t="shared" si="17"/>
        <v>31288</v>
      </c>
      <c r="F135" s="486">
        <f t="shared" si="18"/>
        <v>202199</v>
      </c>
      <c r="G135" s="486">
        <f t="shared" si="19"/>
        <v>217843</v>
      </c>
      <c r="H135" s="487">
        <f t="shared" si="22"/>
        <v>56404.698990054625</v>
      </c>
      <c r="I135" s="543">
        <f t="shared" si="23"/>
        <v>56404.698990054625</v>
      </c>
      <c r="J135" s="479">
        <f t="shared" si="24"/>
        <v>0</v>
      </c>
      <c r="K135" s="479"/>
      <c r="L135" s="488"/>
      <c r="M135" s="479">
        <f t="shared" si="25"/>
        <v>0</v>
      </c>
      <c r="N135" s="488"/>
      <c r="O135" s="479">
        <f t="shared" si="26"/>
        <v>0</v>
      </c>
      <c r="P135" s="479">
        <f t="shared" si="27"/>
        <v>0</v>
      </c>
    </row>
    <row r="136" spans="2:16" ht="12.5">
      <c r="B136" s="160" t="str">
        <f t="shared" si="16"/>
        <v/>
      </c>
      <c r="C136" s="473">
        <f>IF(D93="","-",+C135+1)</f>
        <v>2055</v>
      </c>
      <c r="D136" s="347">
        <f>IF(F135+SUM(E$99:E135)=D$92,F135,D$92-SUM(E$99:E135))</f>
        <v>202199</v>
      </c>
      <c r="E136" s="485">
        <f t="shared" si="17"/>
        <v>31288</v>
      </c>
      <c r="F136" s="486">
        <f t="shared" si="18"/>
        <v>170911</v>
      </c>
      <c r="G136" s="486">
        <f t="shared" si="19"/>
        <v>186555</v>
      </c>
      <c r="H136" s="487">
        <f t="shared" si="22"/>
        <v>52797.278609317902</v>
      </c>
      <c r="I136" s="543">
        <f t="shared" si="23"/>
        <v>52797.278609317902</v>
      </c>
      <c r="J136" s="479">
        <f t="shared" si="24"/>
        <v>0</v>
      </c>
      <c r="K136" s="479"/>
      <c r="L136" s="488"/>
      <c r="M136" s="479">
        <f t="shared" si="25"/>
        <v>0</v>
      </c>
      <c r="N136" s="488"/>
      <c r="O136" s="479">
        <f t="shared" si="26"/>
        <v>0</v>
      </c>
      <c r="P136" s="479">
        <f t="shared" si="27"/>
        <v>0</v>
      </c>
    </row>
    <row r="137" spans="2:16" ht="12.5">
      <c r="B137" s="160" t="str">
        <f t="shared" si="16"/>
        <v/>
      </c>
      <c r="C137" s="473">
        <f>IF(D93="","-",+C136+1)</f>
        <v>2056</v>
      </c>
      <c r="D137" s="347">
        <f>IF(F136+SUM(E$99:E136)=D$92,F136,D$92-SUM(E$99:E136))</f>
        <v>170911</v>
      </c>
      <c r="E137" s="485">
        <f t="shared" si="17"/>
        <v>31288</v>
      </c>
      <c r="F137" s="486">
        <f t="shared" si="18"/>
        <v>139623</v>
      </c>
      <c r="G137" s="486">
        <f t="shared" si="19"/>
        <v>155267</v>
      </c>
      <c r="H137" s="487">
        <f t="shared" si="22"/>
        <v>49189.858228581186</v>
      </c>
      <c r="I137" s="543">
        <f t="shared" si="23"/>
        <v>49189.858228581186</v>
      </c>
      <c r="J137" s="479">
        <f t="shared" si="24"/>
        <v>0</v>
      </c>
      <c r="K137" s="479"/>
      <c r="L137" s="488"/>
      <c r="M137" s="479">
        <f t="shared" si="25"/>
        <v>0</v>
      </c>
      <c r="N137" s="488"/>
      <c r="O137" s="479">
        <f t="shared" si="26"/>
        <v>0</v>
      </c>
      <c r="P137" s="479">
        <f t="shared" si="27"/>
        <v>0</v>
      </c>
    </row>
    <row r="138" spans="2:16" ht="12.5">
      <c r="B138" s="160" t="str">
        <f t="shared" si="16"/>
        <v/>
      </c>
      <c r="C138" s="473">
        <f>IF(D93="","-",+C137+1)</f>
        <v>2057</v>
      </c>
      <c r="D138" s="347">
        <f>IF(F137+SUM(E$99:E137)=D$92,F137,D$92-SUM(E$99:E137))</f>
        <v>139623</v>
      </c>
      <c r="E138" s="485">
        <f t="shared" si="17"/>
        <v>31288</v>
      </c>
      <c r="F138" s="486">
        <f t="shared" si="18"/>
        <v>108335</v>
      </c>
      <c r="G138" s="486">
        <f t="shared" si="19"/>
        <v>123979</v>
      </c>
      <c r="H138" s="487">
        <f t="shared" si="22"/>
        <v>45582.437847844471</v>
      </c>
      <c r="I138" s="543">
        <f t="shared" si="23"/>
        <v>45582.437847844471</v>
      </c>
      <c r="J138" s="479">
        <f t="shared" si="24"/>
        <v>0</v>
      </c>
      <c r="K138" s="479"/>
      <c r="L138" s="488"/>
      <c r="M138" s="479">
        <f t="shared" si="25"/>
        <v>0</v>
      </c>
      <c r="N138" s="488"/>
      <c r="O138" s="479">
        <f t="shared" si="26"/>
        <v>0</v>
      </c>
      <c r="P138" s="479">
        <f t="shared" si="27"/>
        <v>0</v>
      </c>
    </row>
    <row r="139" spans="2:16" ht="12.5">
      <c r="B139" s="160" t="str">
        <f t="shared" si="16"/>
        <v/>
      </c>
      <c r="C139" s="473">
        <f>IF(D93="","-",+C138+1)</f>
        <v>2058</v>
      </c>
      <c r="D139" s="347">
        <f>IF(F138+SUM(E$99:E138)=D$92,F138,D$92-SUM(E$99:E138))</f>
        <v>108335</v>
      </c>
      <c r="E139" s="485">
        <f t="shared" si="17"/>
        <v>31288</v>
      </c>
      <c r="F139" s="486">
        <f t="shared" si="18"/>
        <v>77047</v>
      </c>
      <c r="G139" s="486">
        <f t="shared" si="19"/>
        <v>92691</v>
      </c>
      <c r="H139" s="487">
        <f t="shared" si="22"/>
        <v>41975.017467107748</v>
      </c>
      <c r="I139" s="543">
        <f t="shared" si="23"/>
        <v>41975.017467107748</v>
      </c>
      <c r="J139" s="479">
        <f t="shared" si="24"/>
        <v>0</v>
      </c>
      <c r="K139" s="479"/>
      <c r="L139" s="488"/>
      <c r="M139" s="479">
        <f t="shared" si="25"/>
        <v>0</v>
      </c>
      <c r="N139" s="488"/>
      <c r="O139" s="479">
        <f t="shared" si="26"/>
        <v>0</v>
      </c>
      <c r="P139" s="479">
        <f t="shared" si="27"/>
        <v>0</v>
      </c>
    </row>
    <row r="140" spans="2:16" ht="12.5">
      <c r="B140" s="160" t="str">
        <f t="shared" si="16"/>
        <v/>
      </c>
      <c r="C140" s="473">
        <f>IF(D93="","-",+C139+1)</f>
        <v>2059</v>
      </c>
      <c r="D140" s="347">
        <f>IF(F139+SUM(E$99:E139)=D$92,F139,D$92-SUM(E$99:E139))</f>
        <v>77047</v>
      </c>
      <c r="E140" s="485">
        <f t="shared" si="17"/>
        <v>31288</v>
      </c>
      <c r="F140" s="486">
        <f t="shared" si="18"/>
        <v>45759</v>
      </c>
      <c r="G140" s="486">
        <f t="shared" si="19"/>
        <v>61403</v>
      </c>
      <c r="H140" s="487">
        <f t="shared" si="22"/>
        <v>38367.597086371032</v>
      </c>
      <c r="I140" s="543">
        <f t="shared" si="23"/>
        <v>38367.597086371032</v>
      </c>
      <c r="J140" s="479">
        <f t="shared" si="24"/>
        <v>0</v>
      </c>
      <c r="K140" s="479"/>
      <c r="L140" s="488"/>
      <c r="M140" s="479">
        <f t="shared" si="25"/>
        <v>0</v>
      </c>
      <c r="N140" s="488"/>
      <c r="O140" s="479">
        <f t="shared" si="26"/>
        <v>0</v>
      </c>
      <c r="P140" s="479">
        <f t="shared" si="27"/>
        <v>0</v>
      </c>
    </row>
    <row r="141" spans="2:16" ht="12.5">
      <c r="B141" s="160" t="str">
        <f t="shared" si="16"/>
        <v/>
      </c>
      <c r="C141" s="473">
        <f>IF(D93="","-",+C140+1)</f>
        <v>2060</v>
      </c>
      <c r="D141" s="347">
        <f>IF(F140+SUM(E$99:E140)=D$92,F140,D$92-SUM(E$99:E140))</f>
        <v>45759</v>
      </c>
      <c r="E141" s="485">
        <f t="shared" si="17"/>
        <v>31288</v>
      </c>
      <c r="F141" s="486">
        <f t="shared" si="18"/>
        <v>14471</v>
      </c>
      <c r="G141" s="486">
        <f t="shared" si="19"/>
        <v>30115</v>
      </c>
      <c r="H141" s="487">
        <f t="shared" si="22"/>
        <v>34760.176705634309</v>
      </c>
      <c r="I141" s="543">
        <f t="shared" si="23"/>
        <v>34760.176705634309</v>
      </c>
      <c r="J141" s="479">
        <f t="shared" si="24"/>
        <v>0</v>
      </c>
      <c r="K141" s="479"/>
      <c r="L141" s="488"/>
      <c r="M141" s="479">
        <f t="shared" si="25"/>
        <v>0</v>
      </c>
      <c r="N141" s="488"/>
      <c r="O141" s="479">
        <f t="shared" si="26"/>
        <v>0</v>
      </c>
      <c r="P141" s="479">
        <f t="shared" si="27"/>
        <v>0</v>
      </c>
    </row>
    <row r="142" spans="2:16" ht="12.5">
      <c r="B142" s="160" t="str">
        <f t="shared" si="16"/>
        <v/>
      </c>
      <c r="C142" s="473">
        <f>IF(D93="","-",+C141+1)</f>
        <v>2061</v>
      </c>
      <c r="D142" s="347">
        <f>IF(F141+SUM(E$99:E141)=D$92,F141,D$92-SUM(E$99:E141))</f>
        <v>14471</v>
      </c>
      <c r="E142" s="485">
        <f t="shared" si="17"/>
        <v>14471</v>
      </c>
      <c r="F142" s="486">
        <f t="shared" si="18"/>
        <v>0</v>
      </c>
      <c r="G142" s="486">
        <f t="shared" si="19"/>
        <v>7235.5</v>
      </c>
      <c r="H142" s="487">
        <f t="shared" si="22"/>
        <v>15305.233257632975</v>
      </c>
      <c r="I142" s="543">
        <f t="shared" si="23"/>
        <v>15305.233257632975</v>
      </c>
      <c r="J142" s="479">
        <f t="shared" si="24"/>
        <v>0</v>
      </c>
      <c r="K142" s="479"/>
      <c r="L142" s="488"/>
      <c r="M142" s="479">
        <f t="shared" si="25"/>
        <v>0</v>
      </c>
      <c r="N142" s="488"/>
      <c r="O142" s="479">
        <f t="shared" si="26"/>
        <v>0</v>
      </c>
      <c r="P142" s="479">
        <f t="shared" si="27"/>
        <v>0</v>
      </c>
    </row>
    <row r="143" spans="2:16" ht="12.5">
      <c r="B143" s="160" t="str">
        <f t="shared" si="16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17"/>
        <v>0</v>
      </c>
      <c r="F143" s="486">
        <f t="shared" si="18"/>
        <v>0</v>
      </c>
      <c r="G143" s="486">
        <f t="shared" si="19"/>
        <v>0</v>
      </c>
      <c r="H143" s="487">
        <f t="shared" si="22"/>
        <v>0</v>
      </c>
      <c r="I143" s="543">
        <f t="shared" si="23"/>
        <v>0</v>
      </c>
      <c r="J143" s="479">
        <f t="shared" si="24"/>
        <v>0</v>
      </c>
      <c r="K143" s="479"/>
      <c r="L143" s="488"/>
      <c r="M143" s="479">
        <f t="shared" si="25"/>
        <v>0</v>
      </c>
      <c r="N143" s="488"/>
      <c r="O143" s="479">
        <f t="shared" si="26"/>
        <v>0</v>
      </c>
      <c r="P143" s="479">
        <f t="shared" si="27"/>
        <v>0</v>
      </c>
    </row>
    <row r="144" spans="2:16" ht="12.5">
      <c r="B144" s="160" t="str">
        <f t="shared" si="16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17"/>
        <v>0</v>
      </c>
      <c r="F144" s="486">
        <f t="shared" si="18"/>
        <v>0</v>
      </c>
      <c r="G144" s="486">
        <f t="shared" si="19"/>
        <v>0</v>
      </c>
      <c r="H144" s="487">
        <f t="shared" si="22"/>
        <v>0</v>
      </c>
      <c r="I144" s="543">
        <f t="shared" si="23"/>
        <v>0</v>
      </c>
      <c r="J144" s="479">
        <f t="shared" si="24"/>
        <v>0</v>
      </c>
      <c r="K144" s="479"/>
      <c r="L144" s="488"/>
      <c r="M144" s="479">
        <f t="shared" si="25"/>
        <v>0</v>
      </c>
      <c r="N144" s="488"/>
      <c r="O144" s="479">
        <f t="shared" si="26"/>
        <v>0</v>
      </c>
      <c r="P144" s="479">
        <f t="shared" si="27"/>
        <v>0</v>
      </c>
    </row>
    <row r="145" spans="2:16" ht="12.5">
      <c r="B145" s="160" t="str">
        <f t="shared" si="16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17"/>
        <v>0</v>
      </c>
      <c r="F145" s="486">
        <f t="shared" si="18"/>
        <v>0</v>
      </c>
      <c r="G145" s="486">
        <f t="shared" si="19"/>
        <v>0</v>
      </c>
      <c r="H145" s="487">
        <f t="shared" si="22"/>
        <v>0</v>
      </c>
      <c r="I145" s="543">
        <f t="shared" si="23"/>
        <v>0</v>
      </c>
      <c r="J145" s="479">
        <f t="shared" si="24"/>
        <v>0</v>
      </c>
      <c r="K145" s="479"/>
      <c r="L145" s="488"/>
      <c r="M145" s="479">
        <f t="shared" si="25"/>
        <v>0</v>
      </c>
      <c r="N145" s="488"/>
      <c r="O145" s="479">
        <f t="shared" si="26"/>
        <v>0</v>
      </c>
      <c r="P145" s="479">
        <f t="shared" si="27"/>
        <v>0</v>
      </c>
    </row>
    <row r="146" spans="2:16" ht="12.5">
      <c r="B146" s="160" t="str">
        <f t="shared" si="16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17"/>
        <v>0</v>
      </c>
      <c r="F146" s="486">
        <f t="shared" si="18"/>
        <v>0</v>
      </c>
      <c r="G146" s="486">
        <f t="shared" si="19"/>
        <v>0</v>
      </c>
      <c r="H146" s="487">
        <f t="shared" si="22"/>
        <v>0</v>
      </c>
      <c r="I146" s="543">
        <f t="shared" si="23"/>
        <v>0</v>
      </c>
      <c r="J146" s="479">
        <f t="shared" si="24"/>
        <v>0</v>
      </c>
      <c r="K146" s="479"/>
      <c r="L146" s="488"/>
      <c r="M146" s="479">
        <f t="shared" si="25"/>
        <v>0</v>
      </c>
      <c r="N146" s="488"/>
      <c r="O146" s="479">
        <f t="shared" si="26"/>
        <v>0</v>
      </c>
      <c r="P146" s="479">
        <f t="shared" si="27"/>
        <v>0</v>
      </c>
    </row>
    <row r="147" spans="2:16" ht="12.5">
      <c r="B147" s="160" t="str">
        <f t="shared" si="16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17"/>
        <v>0</v>
      </c>
      <c r="F147" s="486">
        <f t="shared" si="18"/>
        <v>0</v>
      </c>
      <c r="G147" s="486">
        <f t="shared" si="19"/>
        <v>0</v>
      </c>
      <c r="H147" s="487">
        <f t="shared" si="22"/>
        <v>0</v>
      </c>
      <c r="I147" s="543">
        <f t="shared" si="23"/>
        <v>0</v>
      </c>
      <c r="J147" s="479">
        <f t="shared" si="24"/>
        <v>0</v>
      </c>
      <c r="K147" s="479"/>
      <c r="L147" s="488"/>
      <c r="M147" s="479">
        <f t="shared" si="25"/>
        <v>0</v>
      </c>
      <c r="N147" s="488"/>
      <c r="O147" s="479">
        <f t="shared" si="26"/>
        <v>0</v>
      </c>
      <c r="P147" s="479">
        <f t="shared" si="27"/>
        <v>0</v>
      </c>
    </row>
    <row r="148" spans="2:16" ht="12.5">
      <c r="B148" s="160" t="str">
        <f t="shared" si="16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17"/>
        <v>0</v>
      </c>
      <c r="F148" s="486">
        <f t="shared" si="18"/>
        <v>0</v>
      </c>
      <c r="G148" s="486">
        <f t="shared" si="19"/>
        <v>0</v>
      </c>
      <c r="H148" s="487">
        <f t="shared" si="22"/>
        <v>0</v>
      </c>
      <c r="I148" s="543">
        <f t="shared" si="23"/>
        <v>0</v>
      </c>
      <c r="J148" s="479">
        <f t="shared" si="24"/>
        <v>0</v>
      </c>
      <c r="K148" s="479"/>
      <c r="L148" s="488"/>
      <c r="M148" s="479">
        <f t="shared" si="25"/>
        <v>0</v>
      </c>
      <c r="N148" s="488"/>
      <c r="O148" s="479">
        <f t="shared" si="26"/>
        <v>0</v>
      </c>
      <c r="P148" s="479">
        <f t="shared" si="27"/>
        <v>0</v>
      </c>
    </row>
    <row r="149" spans="2:16" ht="12.5">
      <c r="B149" s="160" t="str">
        <f t="shared" si="16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17"/>
        <v>0</v>
      </c>
      <c r="F149" s="486">
        <f t="shared" si="18"/>
        <v>0</v>
      </c>
      <c r="G149" s="486">
        <f t="shared" si="19"/>
        <v>0</v>
      </c>
      <c r="H149" s="487">
        <f t="shared" si="22"/>
        <v>0</v>
      </c>
      <c r="I149" s="543">
        <f t="shared" si="23"/>
        <v>0</v>
      </c>
      <c r="J149" s="479">
        <f t="shared" si="24"/>
        <v>0</v>
      </c>
      <c r="K149" s="479"/>
      <c r="L149" s="488"/>
      <c r="M149" s="479">
        <f t="shared" si="25"/>
        <v>0</v>
      </c>
      <c r="N149" s="488"/>
      <c r="O149" s="479">
        <f t="shared" si="26"/>
        <v>0</v>
      </c>
      <c r="P149" s="479">
        <f t="shared" si="27"/>
        <v>0</v>
      </c>
    </row>
    <row r="150" spans="2:16" ht="12.5">
      <c r="B150" s="160" t="str">
        <f t="shared" si="16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17"/>
        <v>0</v>
      </c>
      <c r="F150" s="486">
        <f t="shared" si="18"/>
        <v>0</v>
      </c>
      <c r="G150" s="486">
        <f t="shared" si="19"/>
        <v>0</v>
      </c>
      <c r="H150" s="487">
        <f t="shared" si="22"/>
        <v>0</v>
      </c>
      <c r="I150" s="543">
        <f t="shared" si="23"/>
        <v>0</v>
      </c>
      <c r="J150" s="479">
        <f t="shared" si="24"/>
        <v>0</v>
      </c>
      <c r="K150" s="479"/>
      <c r="L150" s="488"/>
      <c r="M150" s="479">
        <f t="shared" si="25"/>
        <v>0</v>
      </c>
      <c r="N150" s="488"/>
      <c r="O150" s="479">
        <f t="shared" si="26"/>
        <v>0</v>
      </c>
      <c r="P150" s="479">
        <f t="shared" si="27"/>
        <v>0</v>
      </c>
    </row>
    <row r="151" spans="2:16" ht="12.5">
      <c r="B151" s="160" t="str">
        <f t="shared" si="16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17"/>
        <v>0</v>
      </c>
      <c r="F151" s="486">
        <f t="shared" si="18"/>
        <v>0</v>
      </c>
      <c r="G151" s="486">
        <f t="shared" si="19"/>
        <v>0</v>
      </c>
      <c r="H151" s="487">
        <f t="shared" si="22"/>
        <v>0</v>
      </c>
      <c r="I151" s="543">
        <f t="shared" si="23"/>
        <v>0</v>
      </c>
      <c r="J151" s="479">
        <f t="shared" si="24"/>
        <v>0</v>
      </c>
      <c r="K151" s="479"/>
      <c r="L151" s="488"/>
      <c r="M151" s="479">
        <f t="shared" si="25"/>
        <v>0</v>
      </c>
      <c r="N151" s="488"/>
      <c r="O151" s="479">
        <f t="shared" si="26"/>
        <v>0</v>
      </c>
      <c r="P151" s="479">
        <f t="shared" si="27"/>
        <v>0</v>
      </c>
    </row>
    <row r="152" spans="2:16" ht="12.5">
      <c r="B152" s="160" t="str">
        <f t="shared" si="16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17"/>
        <v>0</v>
      </c>
      <c r="F152" s="486">
        <f t="shared" si="18"/>
        <v>0</v>
      </c>
      <c r="G152" s="486">
        <f t="shared" si="19"/>
        <v>0</v>
      </c>
      <c r="H152" s="487">
        <f t="shared" si="22"/>
        <v>0</v>
      </c>
      <c r="I152" s="543">
        <f t="shared" si="23"/>
        <v>0</v>
      </c>
      <c r="J152" s="479">
        <f t="shared" si="24"/>
        <v>0</v>
      </c>
      <c r="K152" s="479"/>
      <c r="L152" s="488"/>
      <c r="M152" s="479">
        <f t="shared" si="25"/>
        <v>0</v>
      </c>
      <c r="N152" s="488"/>
      <c r="O152" s="479">
        <f t="shared" si="26"/>
        <v>0</v>
      </c>
      <c r="P152" s="479">
        <f t="shared" si="27"/>
        <v>0</v>
      </c>
    </row>
    <row r="153" spans="2:16" ht="12.5">
      <c r="B153" s="160" t="str">
        <f t="shared" si="16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17"/>
        <v>0</v>
      </c>
      <c r="F153" s="486">
        <f t="shared" si="18"/>
        <v>0</v>
      </c>
      <c r="G153" s="486">
        <f t="shared" si="19"/>
        <v>0</v>
      </c>
      <c r="H153" s="487">
        <f t="shared" si="22"/>
        <v>0</v>
      </c>
      <c r="I153" s="543">
        <f t="shared" si="23"/>
        <v>0</v>
      </c>
      <c r="J153" s="479">
        <f t="shared" si="24"/>
        <v>0</v>
      </c>
      <c r="K153" s="479"/>
      <c r="L153" s="488"/>
      <c r="M153" s="479">
        <f t="shared" si="25"/>
        <v>0</v>
      </c>
      <c r="N153" s="488"/>
      <c r="O153" s="479">
        <f t="shared" si="26"/>
        <v>0</v>
      </c>
      <c r="P153" s="479">
        <f t="shared" si="27"/>
        <v>0</v>
      </c>
    </row>
    <row r="154" spans="2:16" ht="13" thickBot="1">
      <c r="B154" s="160" t="str">
        <f t="shared" si="16"/>
        <v/>
      </c>
      <c r="C154" s="490">
        <f>IF(D93="","-",+C153+1)</f>
        <v>2073</v>
      </c>
      <c r="D154" s="544">
        <f>IF(F153+SUM(E$99:E153)=D$92,F153,D$92-SUM(E$99:E153))</f>
        <v>0</v>
      </c>
      <c r="E154" s="492">
        <f t="shared" si="17"/>
        <v>0</v>
      </c>
      <c r="F154" s="491">
        <f t="shared" si="18"/>
        <v>0</v>
      </c>
      <c r="G154" s="491">
        <f t="shared" si="19"/>
        <v>0</v>
      </c>
      <c r="H154" s="614">
        <f t="shared" ref="H154" si="28">+J$94*G154+E154</f>
        <v>0</v>
      </c>
      <c r="I154" s="615">
        <f t="shared" si="20"/>
        <v>0</v>
      </c>
      <c r="J154" s="496">
        <f t="shared" si="24"/>
        <v>0</v>
      </c>
      <c r="K154" s="479"/>
      <c r="L154" s="495"/>
      <c r="M154" s="496">
        <f t="shared" si="25"/>
        <v>0</v>
      </c>
      <c r="N154" s="495"/>
      <c r="O154" s="496">
        <f t="shared" si="26"/>
        <v>0</v>
      </c>
      <c r="P154" s="496">
        <f t="shared" si="27"/>
        <v>0</v>
      </c>
    </row>
    <row r="155" spans="2:16" ht="12.5">
      <c r="C155" s="347" t="s">
        <v>77</v>
      </c>
      <c r="D155" s="348"/>
      <c r="E155" s="348">
        <f>SUM(E99:E154)</f>
        <v>1345383</v>
      </c>
      <c r="F155" s="348"/>
      <c r="G155" s="348"/>
      <c r="H155" s="348">
        <f>SUM(H99:H154)</f>
        <v>4648880.7312040264</v>
      </c>
      <c r="I155" s="348">
        <f>SUM(I99:I154)</f>
        <v>4648880.7312040264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64" zoomScale="85" zoomScaleNormal="85" workbookViewId="0">
      <selection activeCell="D92" sqref="D92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25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35671.491974766584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35671.491974766584</v>
      </c>
      <c r="O6" s="233"/>
      <c r="P6" s="233"/>
    </row>
    <row r="7" spans="1:16" ht="13.5" thickBot="1">
      <c r="C7" s="432" t="s">
        <v>46</v>
      </c>
      <c r="D7" s="600" t="s">
        <v>323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324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288860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6717.6744186046508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2018</v>
      </c>
      <c r="D17" s="585">
        <v>0</v>
      </c>
      <c r="E17" s="609">
        <v>11600</v>
      </c>
      <c r="F17" s="585">
        <v>1032400</v>
      </c>
      <c r="G17" s="609">
        <v>81460.13871045578</v>
      </c>
      <c r="H17" s="588">
        <v>81460.13871045578</v>
      </c>
      <c r="I17" s="476">
        <f>H17-G17</f>
        <v>0</v>
      </c>
      <c r="J17" s="476"/>
      <c r="K17" s="555">
        <f>+G17</f>
        <v>81460.13871045578</v>
      </c>
      <c r="L17" s="478">
        <f t="shared" ref="L17:L72" si="0">IF(K17&lt;&gt;0,+G17-K17,0)</f>
        <v>0</v>
      </c>
      <c r="M17" s="555">
        <f>+H17</f>
        <v>81460.13871045578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2019</v>
      </c>
      <c r="D18" s="585">
        <v>1032400</v>
      </c>
      <c r="E18" s="586">
        <v>23200</v>
      </c>
      <c r="F18" s="585">
        <v>1009200</v>
      </c>
      <c r="G18" s="586">
        <v>161350.38666337324</v>
      </c>
      <c r="H18" s="588">
        <v>161350.38666337324</v>
      </c>
      <c r="I18" s="476">
        <f>H18-G18</f>
        <v>0</v>
      </c>
      <c r="J18" s="476"/>
      <c r="K18" s="479">
        <f>+G18</f>
        <v>161350.38666337324</v>
      </c>
      <c r="L18" s="479">
        <f t="shared" si="0"/>
        <v>0</v>
      </c>
      <c r="M18" s="479">
        <f>+H18</f>
        <v>161350.38666337324</v>
      </c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2020</v>
      </c>
      <c r="D19" s="585">
        <v>267280</v>
      </c>
      <c r="E19" s="586">
        <v>7192.3809523809523</v>
      </c>
      <c r="F19" s="585">
        <v>260087.61904761905</v>
      </c>
      <c r="G19" s="586">
        <v>35671.491974766584</v>
      </c>
      <c r="H19" s="588">
        <v>35671.491974766584</v>
      </c>
      <c r="I19" s="476">
        <f t="shared" ref="I19:I71" si="3">H19-G19</f>
        <v>0</v>
      </c>
      <c r="J19" s="476"/>
      <c r="K19" s="479">
        <f>+G19</f>
        <v>35671.491974766584</v>
      </c>
      <c r="L19" s="479">
        <f t="shared" ref="L19" si="4">IF(K19&lt;&gt;0,+G19-K19,0)</f>
        <v>0</v>
      </c>
      <c r="M19" s="479">
        <f>+H19</f>
        <v>35671.491974766584</v>
      </c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5">IF(D20=F19,"","IU")</f>
        <v>IU</v>
      </c>
      <c r="C20" s="473">
        <f>IF(D11="","-",+C19+1)</f>
        <v>2021</v>
      </c>
      <c r="D20" s="484">
        <f>IF(F19+SUM(E$17:E19)=D$10,F19,D$10-SUM(E$17:E19))</f>
        <v>246867.61904761905</v>
      </c>
      <c r="E20" s="485">
        <f t="shared" ref="E20:E71" si="6">IF(+I$14&lt;F19,I$14,D20)</f>
        <v>6717.6744186046508</v>
      </c>
      <c r="F20" s="486">
        <f t="shared" ref="F20:F71" si="7">+D20-E20</f>
        <v>240149.94462901441</v>
      </c>
      <c r="G20" s="487">
        <f t="shared" ref="G20:G71" si="8">(D20+F20)/2*I$12+E20</f>
        <v>34734.902459773577</v>
      </c>
      <c r="H20" s="456">
        <f t="shared" ref="H20:H71" si="9">+(D20+F20)/2*I$13+E20</f>
        <v>34734.902459773577</v>
      </c>
      <c r="I20" s="476">
        <f t="shared" si="3"/>
        <v>0</v>
      </c>
      <c r="J20" s="476"/>
      <c r="K20" s="488"/>
      <c r="L20" s="479">
        <f t="shared" si="0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5"/>
        <v/>
      </c>
      <c r="C21" s="473">
        <f>IF(D11="","-",+C20+1)</f>
        <v>2022</v>
      </c>
      <c r="D21" s="484">
        <f>IF(F20+SUM(E$17:E20)=D$10,F20,D$10-SUM(E$17:E20))</f>
        <v>240149.94462901441</v>
      </c>
      <c r="E21" s="485">
        <f t="shared" si="6"/>
        <v>6717.6744186046508</v>
      </c>
      <c r="F21" s="486">
        <f t="shared" si="7"/>
        <v>233432.27021040977</v>
      </c>
      <c r="G21" s="487">
        <f t="shared" si="8"/>
        <v>33961.991459720448</v>
      </c>
      <c r="H21" s="456">
        <f t="shared" si="9"/>
        <v>33961.991459720448</v>
      </c>
      <c r="I21" s="476">
        <f t="shared" si="3"/>
        <v>0</v>
      </c>
      <c r="J21" s="476"/>
      <c r="K21" s="488"/>
      <c r="L21" s="479">
        <f t="shared" si="0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5"/>
        <v/>
      </c>
      <c r="C22" s="473">
        <f>IF(D11="","-",+C21+1)</f>
        <v>2023</v>
      </c>
      <c r="D22" s="484">
        <f>IF(F21+SUM(E$17:E21)=D$10,F21,D$10-SUM(E$17:E21))</f>
        <v>233432.27021040977</v>
      </c>
      <c r="E22" s="485">
        <f t="shared" si="6"/>
        <v>6717.6744186046508</v>
      </c>
      <c r="F22" s="486">
        <f t="shared" si="7"/>
        <v>226714.59579180513</v>
      </c>
      <c r="G22" s="487">
        <f t="shared" si="8"/>
        <v>33189.080459667312</v>
      </c>
      <c r="H22" s="456">
        <f t="shared" si="9"/>
        <v>33189.080459667312</v>
      </c>
      <c r="I22" s="476">
        <f t="shared" si="3"/>
        <v>0</v>
      </c>
      <c r="J22" s="476"/>
      <c r="K22" s="488"/>
      <c r="L22" s="479">
        <f t="shared" si="0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5"/>
        <v/>
      </c>
      <c r="C23" s="473">
        <f>IF(D11="","-",+C22+1)</f>
        <v>2024</v>
      </c>
      <c r="D23" s="484">
        <f>IF(F22+SUM(E$17:E22)=D$10,F22,D$10-SUM(E$17:E22))</f>
        <v>226714.59579180513</v>
      </c>
      <c r="E23" s="485">
        <f t="shared" si="6"/>
        <v>6717.6744186046508</v>
      </c>
      <c r="F23" s="486">
        <f t="shared" si="7"/>
        <v>219996.92137320049</v>
      </c>
      <c r="G23" s="487">
        <f t="shared" si="8"/>
        <v>32416.169459614182</v>
      </c>
      <c r="H23" s="456">
        <f t="shared" si="9"/>
        <v>32416.169459614182</v>
      </c>
      <c r="I23" s="476">
        <f t="shared" si="3"/>
        <v>0</v>
      </c>
      <c r="J23" s="476"/>
      <c r="K23" s="488"/>
      <c r="L23" s="479">
        <f t="shared" si="0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5"/>
        <v/>
      </c>
      <c r="C24" s="473">
        <f>IF(D11="","-",+C23+1)</f>
        <v>2025</v>
      </c>
      <c r="D24" s="484">
        <f>IF(F23+SUM(E$17:E23)=D$10,F23,D$10-SUM(E$17:E23))</f>
        <v>219996.92137320049</v>
      </c>
      <c r="E24" s="485">
        <f t="shared" si="6"/>
        <v>6717.6744186046508</v>
      </c>
      <c r="F24" s="486">
        <f t="shared" si="7"/>
        <v>213279.24695459584</v>
      </c>
      <c r="G24" s="487">
        <f t="shared" si="8"/>
        <v>31643.258459561053</v>
      </c>
      <c r="H24" s="456">
        <f t="shared" si="9"/>
        <v>31643.258459561053</v>
      </c>
      <c r="I24" s="476">
        <f t="shared" si="3"/>
        <v>0</v>
      </c>
      <c r="J24" s="476"/>
      <c r="K24" s="488"/>
      <c r="L24" s="479">
        <f t="shared" si="0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5"/>
        <v/>
      </c>
      <c r="C25" s="473">
        <f>IF(D11="","-",+C24+1)</f>
        <v>2026</v>
      </c>
      <c r="D25" s="484">
        <f>IF(F24+SUM(E$17:E24)=D$10,F24,D$10-SUM(E$17:E24))</f>
        <v>213279.24695459584</v>
      </c>
      <c r="E25" s="485">
        <f t="shared" si="6"/>
        <v>6717.6744186046508</v>
      </c>
      <c r="F25" s="486">
        <f t="shared" si="7"/>
        <v>206561.5725359912</v>
      </c>
      <c r="G25" s="487">
        <f t="shared" si="8"/>
        <v>30870.347459507917</v>
      </c>
      <c r="H25" s="456">
        <f t="shared" si="9"/>
        <v>30870.347459507917</v>
      </c>
      <c r="I25" s="476">
        <f t="shared" si="3"/>
        <v>0</v>
      </c>
      <c r="J25" s="476"/>
      <c r="K25" s="488"/>
      <c r="L25" s="479">
        <f t="shared" si="0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5"/>
        <v/>
      </c>
      <c r="C26" s="473">
        <f>IF(D11="","-",+C25+1)</f>
        <v>2027</v>
      </c>
      <c r="D26" s="484">
        <f>IF(F25+SUM(E$17:E25)=D$10,F25,D$10-SUM(E$17:E25))</f>
        <v>206561.5725359912</v>
      </c>
      <c r="E26" s="485">
        <f t="shared" si="6"/>
        <v>6717.6744186046508</v>
      </c>
      <c r="F26" s="486">
        <f t="shared" si="7"/>
        <v>199843.89811738656</v>
      </c>
      <c r="G26" s="487">
        <f t="shared" si="8"/>
        <v>30097.436459454788</v>
      </c>
      <c r="H26" s="456">
        <f t="shared" si="9"/>
        <v>30097.436459454788</v>
      </c>
      <c r="I26" s="476">
        <f t="shared" si="3"/>
        <v>0</v>
      </c>
      <c r="J26" s="476"/>
      <c r="K26" s="488"/>
      <c r="L26" s="479">
        <f t="shared" si="0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5"/>
        <v/>
      </c>
      <c r="C27" s="473">
        <f>IF(D11="","-",+C26+1)</f>
        <v>2028</v>
      </c>
      <c r="D27" s="484">
        <f>IF(F26+SUM(E$17:E26)=D$10,F26,D$10-SUM(E$17:E26))</f>
        <v>199843.89811738656</v>
      </c>
      <c r="E27" s="485">
        <f t="shared" si="6"/>
        <v>6717.6744186046508</v>
      </c>
      <c r="F27" s="486">
        <f t="shared" si="7"/>
        <v>193126.22369878192</v>
      </c>
      <c r="G27" s="487">
        <f t="shared" si="8"/>
        <v>29324.525459401659</v>
      </c>
      <c r="H27" s="456">
        <f t="shared" si="9"/>
        <v>29324.525459401659</v>
      </c>
      <c r="I27" s="476">
        <f t="shared" si="3"/>
        <v>0</v>
      </c>
      <c r="J27" s="476"/>
      <c r="K27" s="488"/>
      <c r="L27" s="479">
        <f t="shared" si="0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5"/>
        <v/>
      </c>
      <c r="C28" s="473">
        <f>IF(D11="","-",+C27+1)</f>
        <v>2029</v>
      </c>
      <c r="D28" s="484">
        <f>IF(F27+SUM(E$17:E27)=D$10,F27,D$10-SUM(E$17:E27))</f>
        <v>193126.22369878192</v>
      </c>
      <c r="E28" s="485">
        <f t="shared" si="6"/>
        <v>6717.6744186046508</v>
      </c>
      <c r="F28" s="486">
        <f t="shared" si="7"/>
        <v>186408.54928017728</v>
      </c>
      <c r="G28" s="487">
        <f t="shared" si="8"/>
        <v>28551.61445934853</v>
      </c>
      <c r="H28" s="456">
        <f t="shared" si="9"/>
        <v>28551.61445934853</v>
      </c>
      <c r="I28" s="476">
        <f t="shared" si="3"/>
        <v>0</v>
      </c>
      <c r="J28" s="476"/>
      <c r="K28" s="488"/>
      <c r="L28" s="479">
        <f t="shared" si="0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5"/>
        <v/>
      </c>
      <c r="C29" s="473">
        <f>IF(D11="","-",+C28+1)</f>
        <v>2030</v>
      </c>
      <c r="D29" s="484">
        <f>IF(F28+SUM(E$17:E28)=D$10,F28,D$10-SUM(E$17:E28))</f>
        <v>186408.54928017728</v>
      </c>
      <c r="E29" s="485">
        <f t="shared" si="6"/>
        <v>6717.6744186046508</v>
      </c>
      <c r="F29" s="486">
        <f t="shared" si="7"/>
        <v>179690.87486157264</v>
      </c>
      <c r="G29" s="487">
        <f t="shared" si="8"/>
        <v>27778.703459295393</v>
      </c>
      <c r="H29" s="456">
        <f t="shared" si="9"/>
        <v>27778.703459295393</v>
      </c>
      <c r="I29" s="476">
        <f t="shared" si="3"/>
        <v>0</v>
      </c>
      <c r="J29" s="476"/>
      <c r="K29" s="488"/>
      <c r="L29" s="479">
        <f t="shared" si="0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5"/>
        <v/>
      </c>
      <c r="C30" s="473">
        <f>IF(D11="","-",+C29+1)</f>
        <v>2031</v>
      </c>
      <c r="D30" s="484">
        <f>IF(F29+SUM(E$17:E29)=D$10,F29,D$10-SUM(E$17:E29))</f>
        <v>179690.87486157264</v>
      </c>
      <c r="E30" s="485">
        <f t="shared" si="6"/>
        <v>6717.6744186046508</v>
      </c>
      <c r="F30" s="486">
        <f t="shared" si="7"/>
        <v>172973.20044296799</v>
      </c>
      <c r="G30" s="487">
        <f t="shared" si="8"/>
        <v>27005.792459242264</v>
      </c>
      <c r="H30" s="456">
        <f t="shared" si="9"/>
        <v>27005.792459242264</v>
      </c>
      <c r="I30" s="476">
        <f t="shared" si="3"/>
        <v>0</v>
      </c>
      <c r="J30" s="476"/>
      <c r="K30" s="488"/>
      <c r="L30" s="479">
        <f t="shared" si="0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5"/>
        <v/>
      </c>
      <c r="C31" s="473">
        <f>IF(D11="","-",+C30+1)</f>
        <v>2032</v>
      </c>
      <c r="D31" s="484">
        <f>IF(F30+SUM(E$17:E30)=D$10,F30,D$10-SUM(E$17:E30))</f>
        <v>172973.20044296799</v>
      </c>
      <c r="E31" s="485">
        <f t="shared" si="6"/>
        <v>6717.6744186046508</v>
      </c>
      <c r="F31" s="486">
        <f t="shared" si="7"/>
        <v>166255.52602436335</v>
      </c>
      <c r="G31" s="487">
        <f t="shared" si="8"/>
        <v>26232.881459189135</v>
      </c>
      <c r="H31" s="456">
        <f t="shared" si="9"/>
        <v>26232.881459189135</v>
      </c>
      <c r="I31" s="476">
        <f t="shared" si="3"/>
        <v>0</v>
      </c>
      <c r="J31" s="476"/>
      <c r="K31" s="488"/>
      <c r="L31" s="479">
        <f t="shared" si="0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5"/>
        <v/>
      </c>
      <c r="C32" s="473">
        <f>IF(D11="","-",+C31+1)</f>
        <v>2033</v>
      </c>
      <c r="D32" s="484">
        <f>IF(F31+SUM(E$17:E31)=D$10,F31,D$10-SUM(E$17:E31))</f>
        <v>166255.52602436335</v>
      </c>
      <c r="E32" s="485">
        <f t="shared" si="6"/>
        <v>6717.6744186046508</v>
      </c>
      <c r="F32" s="486">
        <f t="shared" si="7"/>
        <v>159537.85160575871</v>
      </c>
      <c r="G32" s="487">
        <f t="shared" si="8"/>
        <v>25459.970459135999</v>
      </c>
      <c r="H32" s="456">
        <f t="shared" si="9"/>
        <v>25459.970459135999</v>
      </c>
      <c r="I32" s="476">
        <f t="shared" si="3"/>
        <v>0</v>
      </c>
      <c r="J32" s="476"/>
      <c r="K32" s="488"/>
      <c r="L32" s="479">
        <f t="shared" si="0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5"/>
        <v/>
      </c>
      <c r="C33" s="473">
        <f>IF(D11="","-",+C32+1)</f>
        <v>2034</v>
      </c>
      <c r="D33" s="484">
        <f>IF(F32+SUM(E$17:E32)=D$10,F32,D$10-SUM(E$17:E32))</f>
        <v>159537.85160575871</v>
      </c>
      <c r="E33" s="485">
        <f t="shared" si="6"/>
        <v>6717.6744186046508</v>
      </c>
      <c r="F33" s="486">
        <f t="shared" si="7"/>
        <v>152820.17718715407</v>
      </c>
      <c r="G33" s="487">
        <f t="shared" si="8"/>
        <v>24687.05945908287</v>
      </c>
      <c r="H33" s="456">
        <f t="shared" si="9"/>
        <v>24687.05945908287</v>
      </c>
      <c r="I33" s="476">
        <f t="shared" si="3"/>
        <v>0</v>
      </c>
      <c r="J33" s="476"/>
      <c r="K33" s="488"/>
      <c r="L33" s="479">
        <f t="shared" si="0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5"/>
        <v/>
      </c>
      <c r="C34" s="473">
        <f>IF(D11="","-",+C33+1)</f>
        <v>2035</v>
      </c>
      <c r="D34" s="484">
        <f>IF(F33+SUM(E$17:E33)=D$10,F33,D$10-SUM(E$17:E33))</f>
        <v>152820.17718715407</v>
      </c>
      <c r="E34" s="485">
        <f t="shared" si="6"/>
        <v>6717.6744186046508</v>
      </c>
      <c r="F34" s="486">
        <f t="shared" si="7"/>
        <v>146102.50276854943</v>
      </c>
      <c r="G34" s="487">
        <f t="shared" si="8"/>
        <v>23914.14845902974</v>
      </c>
      <c r="H34" s="456">
        <f t="shared" si="9"/>
        <v>23914.14845902974</v>
      </c>
      <c r="I34" s="476">
        <f t="shared" si="3"/>
        <v>0</v>
      </c>
      <c r="J34" s="476"/>
      <c r="K34" s="488"/>
      <c r="L34" s="479">
        <f t="shared" si="0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5"/>
        <v/>
      </c>
      <c r="C35" s="473">
        <f>IF(D11="","-",+C34+1)</f>
        <v>2036</v>
      </c>
      <c r="D35" s="484">
        <f>IF(F34+SUM(E$17:E34)=D$10,F34,D$10-SUM(E$17:E34))</f>
        <v>146102.50276854943</v>
      </c>
      <c r="E35" s="485">
        <f t="shared" si="6"/>
        <v>6717.6744186046508</v>
      </c>
      <c r="F35" s="486">
        <f t="shared" si="7"/>
        <v>139384.82834994479</v>
      </c>
      <c r="G35" s="487">
        <f t="shared" si="8"/>
        <v>23141.237458976611</v>
      </c>
      <c r="H35" s="456">
        <f t="shared" si="9"/>
        <v>23141.237458976611</v>
      </c>
      <c r="I35" s="476">
        <f t="shared" si="3"/>
        <v>0</v>
      </c>
      <c r="J35" s="476"/>
      <c r="K35" s="488"/>
      <c r="L35" s="479">
        <f t="shared" si="0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5"/>
        <v/>
      </c>
      <c r="C36" s="473">
        <f>IF(D11="","-",+C35+1)</f>
        <v>2037</v>
      </c>
      <c r="D36" s="484">
        <f>IF(F35+SUM(E$17:E35)=D$10,F35,D$10-SUM(E$17:E35))</f>
        <v>139384.82834994479</v>
      </c>
      <c r="E36" s="485">
        <f t="shared" si="6"/>
        <v>6717.6744186046508</v>
      </c>
      <c r="F36" s="486">
        <f t="shared" si="7"/>
        <v>132667.15393134014</v>
      </c>
      <c r="G36" s="487">
        <f t="shared" si="8"/>
        <v>22368.326458923475</v>
      </c>
      <c r="H36" s="456">
        <f t="shared" si="9"/>
        <v>22368.326458923475</v>
      </c>
      <c r="I36" s="476">
        <f t="shared" si="3"/>
        <v>0</v>
      </c>
      <c r="J36" s="476"/>
      <c r="K36" s="488"/>
      <c r="L36" s="479">
        <f t="shared" si="0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5"/>
        <v/>
      </c>
      <c r="C37" s="473">
        <f>IF(D11="","-",+C36+1)</f>
        <v>2038</v>
      </c>
      <c r="D37" s="484">
        <f>IF(F36+SUM(E$17:E36)=D$10,F36,D$10-SUM(E$17:E36))</f>
        <v>132667.15393134014</v>
      </c>
      <c r="E37" s="485">
        <f t="shared" si="6"/>
        <v>6717.6744186046508</v>
      </c>
      <c r="F37" s="486">
        <f t="shared" si="7"/>
        <v>125949.47951273549</v>
      </c>
      <c r="G37" s="487">
        <f t="shared" si="8"/>
        <v>21595.415458870346</v>
      </c>
      <c r="H37" s="456">
        <f t="shared" si="9"/>
        <v>21595.415458870346</v>
      </c>
      <c r="I37" s="476">
        <f t="shared" si="3"/>
        <v>0</v>
      </c>
      <c r="J37" s="476"/>
      <c r="K37" s="488"/>
      <c r="L37" s="479">
        <f t="shared" si="0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5"/>
        <v/>
      </c>
      <c r="C38" s="473">
        <f>IF(D11="","-",+C37+1)</f>
        <v>2039</v>
      </c>
      <c r="D38" s="484">
        <f>IF(F37+SUM(E$17:E37)=D$10,F37,D$10-SUM(E$17:E37))</f>
        <v>125949.47951273549</v>
      </c>
      <c r="E38" s="485">
        <f t="shared" si="6"/>
        <v>6717.6744186046508</v>
      </c>
      <c r="F38" s="486">
        <f t="shared" si="7"/>
        <v>119231.80509413083</v>
      </c>
      <c r="G38" s="487">
        <f t="shared" si="8"/>
        <v>20822.50445881721</v>
      </c>
      <c r="H38" s="456">
        <f t="shared" si="9"/>
        <v>20822.50445881721</v>
      </c>
      <c r="I38" s="476">
        <f t="shared" si="3"/>
        <v>0</v>
      </c>
      <c r="J38" s="476"/>
      <c r="K38" s="488"/>
      <c r="L38" s="479">
        <f t="shared" si="0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5"/>
        <v/>
      </c>
      <c r="C39" s="473">
        <f>IF(D11="","-",+C38+1)</f>
        <v>2040</v>
      </c>
      <c r="D39" s="484">
        <f>IF(F38+SUM(E$17:E38)=D$10,F38,D$10-SUM(E$17:E38))</f>
        <v>119231.80509413083</v>
      </c>
      <c r="E39" s="485">
        <f t="shared" si="6"/>
        <v>6717.6744186046508</v>
      </c>
      <c r="F39" s="486">
        <f t="shared" si="7"/>
        <v>112514.13067552618</v>
      </c>
      <c r="G39" s="487">
        <f t="shared" si="8"/>
        <v>20049.59345876408</v>
      </c>
      <c r="H39" s="456">
        <f t="shared" si="9"/>
        <v>20049.59345876408</v>
      </c>
      <c r="I39" s="476">
        <f t="shared" si="3"/>
        <v>0</v>
      </c>
      <c r="J39" s="476"/>
      <c r="K39" s="488"/>
      <c r="L39" s="479">
        <f t="shared" si="0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5"/>
        <v/>
      </c>
      <c r="C40" s="473">
        <f>IF(D11="","-",+C39+1)</f>
        <v>2041</v>
      </c>
      <c r="D40" s="484">
        <f>IF(F39+SUM(E$17:E39)=D$10,F39,D$10-SUM(E$17:E39))</f>
        <v>112514.13067552618</v>
      </c>
      <c r="E40" s="485">
        <f t="shared" si="6"/>
        <v>6717.6744186046508</v>
      </c>
      <c r="F40" s="486">
        <f t="shared" si="7"/>
        <v>105796.45625692152</v>
      </c>
      <c r="G40" s="487">
        <f t="shared" si="8"/>
        <v>19276.682458710944</v>
      </c>
      <c r="H40" s="456">
        <f t="shared" si="9"/>
        <v>19276.682458710944</v>
      </c>
      <c r="I40" s="476">
        <f t="shared" si="3"/>
        <v>0</v>
      </c>
      <c r="J40" s="476"/>
      <c r="K40" s="488"/>
      <c r="L40" s="479">
        <f t="shared" si="0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5"/>
        <v/>
      </c>
      <c r="C41" s="473">
        <f>IF(D11="","-",+C40+1)</f>
        <v>2042</v>
      </c>
      <c r="D41" s="484">
        <f>IF(F40+SUM(E$17:E40)=D$10,F40,D$10-SUM(E$17:E40))</f>
        <v>105796.45625692152</v>
      </c>
      <c r="E41" s="485">
        <f t="shared" si="6"/>
        <v>6717.6744186046508</v>
      </c>
      <c r="F41" s="486">
        <f t="shared" si="7"/>
        <v>99078.781838316863</v>
      </c>
      <c r="G41" s="487">
        <f t="shared" si="8"/>
        <v>18503.771458657815</v>
      </c>
      <c r="H41" s="456">
        <f t="shared" si="9"/>
        <v>18503.771458657815</v>
      </c>
      <c r="I41" s="476">
        <f t="shared" si="3"/>
        <v>0</v>
      </c>
      <c r="J41" s="476"/>
      <c r="K41" s="488"/>
      <c r="L41" s="479">
        <f t="shared" si="0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5"/>
        <v/>
      </c>
      <c r="C42" s="473">
        <f>IF(D11="","-",+C41+1)</f>
        <v>2043</v>
      </c>
      <c r="D42" s="484">
        <f>IF(F41+SUM(E$17:E41)=D$10,F41,D$10-SUM(E$17:E41))</f>
        <v>99078.781838316863</v>
      </c>
      <c r="E42" s="485">
        <f t="shared" si="6"/>
        <v>6717.6744186046508</v>
      </c>
      <c r="F42" s="486">
        <f t="shared" si="7"/>
        <v>92361.107419712207</v>
      </c>
      <c r="G42" s="487">
        <f t="shared" si="8"/>
        <v>17730.860458604679</v>
      </c>
      <c r="H42" s="456">
        <f t="shared" si="9"/>
        <v>17730.860458604679</v>
      </c>
      <c r="I42" s="476">
        <f t="shared" si="3"/>
        <v>0</v>
      </c>
      <c r="J42" s="476"/>
      <c r="K42" s="488"/>
      <c r="L42" s="479">
        <f t="shared" si="0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5"/>
        <v/>
      </c>
      <c r="C43" s="473">
        <f>IF(D11="","-",+C42+1)</f>
        <v>2044</v>
      </c>
      <c r="D43" s="484">
        <f>IF(F42+SUM(E$17:E42)=D$10,F42,D$10-SUM(E$17:E42))</f>
        <v>92361.107419712207</v>
      </c>
      <c r="E43" s="485">
        <f t="shared" si="6"/>
        <v>6717.6744186046508</v>
      </c>
      <c r="F43" s="486">
        <f t="shared" si="7"/>
        <v>85643.433001107551</v>
      </c>
      <c r="G43" s="487">
        <f t="shared" si="8"/>
        <v>16957.949458551549</v>
      </c>
      <c r="H43" s="456">
        <f t="shared" si="9"/>
        <v>16957.949458551549</v>
      </c>
      <c r="I43" s="476">
        <f t="shared" si="3"/>
        <v>0</v>
      </c>
      <c r="J43" s="476"/>
      <c r="K43" s="488"/>
      <c r="L43" s="479">
        <f t="shared" si="0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5"/>
        <v/>
      </c>
      <c r="C44" s="473">
        <f>IF(D11="","-",+C43+1)</f>
        <v>2045</v>
      </c>
      <c r="D44" s="484">
        <f>IF(F43+SUM(E$17:E43)=D$10,F43,D$10-SUM(E$17:E43))</f>
        <v>85643.433001107551</v>
      </c>
      <c r="E44" s="485">
        <f t="shared" si="6"/>
        <v>6717.6744186046508</v>
      </c>
      <c r="F44" s="486">
        <f t="shared" si="7"/>
        <v>78925.758582502895</v>
      </c>
      <c r="G44" s="487">
        <f t="shared" si="8"/>
        <v>16185.038458498415</v>
      </c>
      <c r="H44" s="456">
        <f t="shared" si="9"/>
        <v>16185.038458498415</v>
      </c>
      <c r="I44" s="476">
        <f t="shared" si="3"/>
        <v>0</v>
      </c>
      <c r="J44" s="476"/>
      <c r="K44" s="488"/>
      <c r="L44" s="479">
        <f t="shared" si="0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5"/>
        <v/>
      </c>
      <c r="C45" s="473">
        <f>IF(D11="","-",+C44+1)</f>
        <v>2046</v>
      </c>
      <c r="D45" s="484">
        <f>IF(F44+SUM(E$17:E44)=D$10,F44,D$10-SUM(E$17:E44))</f>
        <v>78925.758582502895</v>
      </c>
      <c r="E45" s="485">
        <f t="shared" si="6"/>
        <v>6717.6744186046508</v>
      </c>
      <c r="F45" s="486">
        <f t="shared" si="7"/>
        <v>72208.084163898238</v>
      </c>
      <c r="G45" s="487">
        <f t="shared" si="8"/>
        <v>15412.127458445284</v>
      </c>
      <c r="H45" s="456">
        <f t="shared" si="9"/>
        <v>15412.127458445284</v>
      </c>
      <c r="I45" s="476">
        <f t="shared" si="3"/>
        <v>0</v>
      </c>
      <c r="J45" s="476"/>
      <c r="K45" s="488"/>
      <c r="L45" s="479">
        <f t="shared" si="0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5"/>
        <v/>
      </c>
      <c r="C46" s="473">
        <f>IF(D11="","-",+C45+1)</f>
        <v>2047</v>
      </c>
      <c r="D46" s="484">
        <f>IF(F45+SUM(E$17:E45)=D$10,F45,D$10-SUM(E$17:E45))</f>
        <v>72208.084163898238</v>
      </c>
      <c r="E46" s="485">
        <f t="shared" si="6"/>
        <v>6717.6744186046508</v>
      </c>
      <c r="F46" s="486">
        <f t="shared" si="7"/>
        <v>65490.409745293589</v>
      </c>
      <c r="G46" s="487">
        <f t="shared" si="8"/>
        <v>14639.216458392151</v>
      </c>
      <c r="H46" s="456">
        <f t="shared" si="9"/>
        <v>14639.216458392151</v>
      </c>
      <c r="I46" s="476">
        <f t="shared" si="3"/>
        <v>0</v>
      </c>
      <c r="J46" s="476"/>
      <c r="K46" s="488"/>
      <c r="L46" s="479">
        <f t="shared" si="0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5"/>
        <v/>
      </c>
      <c r="C47" s="473">
        <f>IF(D11="","-",+C46+1)</f>
        <v>2048</v>
      </c>
      <c r="D47" s="484">
        <f>IF(F46+SUM(E$17:E46)=D$10,F46,D$10-SUM(E$17:E46))</f>
        <v>65490.409745293589</v>
      </c>
      <c r="E47" s="485">
        <f t="shared" si="6"/>
        <v>6717.6744186046508</v>
      </c>
      <c r="F47" s="486">
        <f t="shared" si="7"/>
        <v>58772.73532668894</v>
      </c>
      <c r="G47" s="487">
        <f t="shared" si="8"/>
        <v>13866.305458339019</v>
      </c>
      <c r="H47" s="456">
        <f t="shared" si="9"/>
        <v>13866.305458339019</v>
      </c>
      <c r="I47" s="476">
        <f t="shared" si="3"/>
        <v>0</v>
      </c>
      <c r="J47" s="476"/>
      <c r="K47" s="488"/>
      <c r="L47" s="479">
        <f t="shared" si="0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5"/>
        <v/>
      </c>
      <c r="C48" s="473">
        <f>IF(D11="","-",+C47+1)</f>
        <v>2049</v>
      </c>
      <c r="D48" s="484">
        <f>IF(F47+SUM(E$17:E47)=D$10,F47,D$10-SUM(E$17:E47))</f>
        <v>58772.73532668894</v>
      </c>
      <c r="E48" s="485">
        <f t="shared" si="6"/>
        <v>6717.6744186046508</v>
      </c>
      <c r="F48" s="486">
        <f t="shared" si="7"/>
        <v>52055.060908084291</v>
      </c>
      <c r="G48" s="487">
        <f t="shared" si="8"/>
        <v>13093.394458285888</v>
      </c>
      <c r="H48" s="456">
        <f t="shared" si="9"/>
        <v>13093.394458285888</v>
      </c>
      <c r="I48" s="476">
        <f t="shared" si="3"/>
        <v>0</v>
      </c>
      <c r="J48" s="476"/>
      <c r="K48" s="488"/>
      <c r="L48" s="479">
        <f t="shared" si="0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5"/>
        <v/>
      </c>
      <c r="C49" s="473">
        <f>IF(D11="","-",+C48+1)</f>
        <v>2050</v>
      </c>
      <c r="D49" s="484">
        <f>IF(F48+SUM(E$17:E48)=D$10,F48,D$10-SUM(E$17:E48))</f>
        <v>52055.060908084291</v>
      </c>
      <c r="E49" s="485">
        <f t="shared" si="6"/>
        <v>6717.6744186046508</v>
      </c>
      <c r="F49" s="486">
        <f t="shared" si="7"/>
        <v>45337.386489479642</v>
      </c>
      <c r="G49" s="487">
        <f t="shared" si="8"/>
        <v>12320.483458232755</v>
      </c>
      <c r="H49" s="456">
        <f t="shared" si="9"/>
        <v>12320.483458232755</v>
      </c>
      <c r="I49" s="476">
        <f t="shared" si="3"/>
        <v>0</v>
      </c>
      <c r="J49" s="476"/>
      <c r="K49" s="488"/>
      <c r="L49" s="479">
        <f t="shared" si="0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5"/>
        <v/>
      </c>
      <c r="C50" s="473">
        <f>IF(D11="","-",+C49+1)</f>
        <v>2051</v>
      </c>
      <c r="D50" s="484">
        <f>IF(F49+SUM(E$17:E49)=D$10,F49,D$10-SUM(E$17:E49))</f>
        <v>45337.386489479642</v>
      </c>
      <c r="E50" s="485">
        <f t="shared" si="6"/>
        <v>6717.6744186046508</v>
      </c>
      <c r="F50" s="486">
        <f t="shared" si="7"/>
        <v>38619.712070874994</v>
      </c>
      <c r="G50" s="487">
        <f t="shared" si="8"/>
        <v>11547.572458179624</v>
      </c>
      <c r="H50" s="456">
        <f t="shared" si="9"/>
        <v>11547.572458179624</v>
      </c>
      <c r="I50" s="476">
        <f t="shared" si="3"/>
        <v>0</v>
      </c>
      <c r="J50" s="476"/>
      <c r="K50" s="488"/>
      <c r="L50" s="479">
        <f t="shared" si="0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5"/>
        <v/>
      </c>
      <c r="C51" s="473">
        <f>IF(D11="","-",+C50+1)</f>
        <v>2052</v>
      </c>
      <c r="D51" s="484">
        <f>IF(F50+SUM(E$17:E50)=D$10,F50,D$10-SUM(E$17:E50))</f>
        <v>38619.712070874994</v>
      </c>
      <c r="E51" s="485">
        <f t="shared" si="6"/>
        <v>6717.6744186046508</v>
      </c>
      <c r="F51" s="486">
        <f t="shared" si="7"/>
        <v>31902.037652270345</v>
      </c>
      <c r="G51" s="487">
        <f t="shared" si="8"/>
        <v>10774.661458126491</v>
      </c>
      <c r="H51" s="456">
        <f t="shared" si="9"/>
        <v>10774.661458126491</v>
      </c>
      <c r="I51" s="476">
        <f t="shared" si="3"/>
        <v>0</v>
      </c>
      <c r="J51" s="476"/>
      <c r="K51" s="488"/>
      <c r="L51" s="479">
        <f t="shared" si="0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5"/>
        <v/>
      </c>
      <c r="C52" s="473">
        <f>IF(D11="","-",+C51+1)</f>
        <v>2053</v>
      </c>
      <c r="D52" s="484">
        <f>IF(F51+SUM(E$17:E51)=D$10,F51,D$10-SUM(E$17:E51))</f>
        <v>31902.037652270345</v>
      </c>
      <c r="E52" s="485">
        <f t="shared" si="6"/>
        <v>6717.6744186046508</v>
      </c>
      <c r="F52" s="486">
        <f t="shared" si="7"/>
        <v>25184.363233665696</v>
      </c>
      <c r="G52" s="487">
        <f t="shared" si="8"/>
        <v>10001.750458073358</v>
      </c>
      <c r="H52" s="456">
        <f t="shared" si="9"/>
        <v>10001.750458073358</v>
      </c>
      <c r="I52" s="476">
        <f t="shared" si="3"/>
        <v>0</v>
      </c>
      <c r="J52" s="476"/>
      <c r="K52" s="488"/>
      <c r="L52" s="479">
        <f t="shared" si="0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5"/>
        <v/>
      </c>
      <c r="C53" s="473">
        <f>IF(D11="","-",+C52+1)</f>
        <v>2054</v>
      </c>
      <c r="D53" s="484">
        <f>IF(F52+SUM(E$17:E52)=D$10,F52,D$10-SUM(E$17:E52))</f>
        <v>25184.363233665696</v>
      </c>
      <c r="E53" s="485">
        <f t="shared" si="6"/>
        <v>6717.6744186046508</v>
      </c>
      <c r="F53" s="486">
        <f t="shared" si="7"/>
        <v>18466.688815061047</v>
      </c>
      <c r="G53" s="487">
        <f t="shared" si="8"/>
        <v>9228.8394580202275</v>
      </c>
      <c r="H53" s="456">
        <f t="shared" si="9"/>
        <v>9228.8394580202275</v>
      </c>
      <c r="I53" s="476">
        <f t="shared" si="3"/>
        <v>0</v>
      </c>
      <c r="J53" s="476"/>
      <c r="K53" s="488"/>
      <c r="L53" s="479">
        <f t="shared" si="0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5"/>
        <v/>
      </c>
      <c r="C54" s="473">
        <f>IF(D11="","-",+C53+1)</f>
        <v>2055</v>
      </c>
      <c r="D54" s="484">
        <f>IF(F53+SUM(E$17:E53)=D$10,F53,D$10-SUM(E$17:E53))</f>
        <v>18466.688815061047</v>
      </c>
      <c r="E54" s="485">
        <f t="shared" si="6"/>
        <v>6717.6744186046508</v>
      </c>
      <c r="F54" s="486">
        <f t="shared" si="7"/>
        <v>11749.014396456396</v>
      </c>
      <c r="G54" s="487">
        <f t="shared" si="8"/>
        <v>8455.9284579670948</v>
      </c>
      <c r="H54" s="456">
        <f t="shared" si="9"/>
        <v>8455.9284579670948</v>
      </c>
      <c r="I54" s="476">
        <f t="shared" si="3"/>
        <v>0</v>
      </c>
      <c r="J54" s="476"/>
      <c r="K54" s="488"/>
      <c r="L54" s="479">
        <f t="shared" si="0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5"/>
        <v/>
      </c>
      <c r="C55" s="473">
        <f>IF(D11="","-",+C54+1)</f>
        <v>2056</v>
      </c>
      <c r="D55" s="484">
        <f>IF(F54+SUM(E$17:E54)=D$10,F54,D$10-SUM(E$17:E54))</f>
        <v>11749.014396456396</v>
      </c>
      <c r="E55" s="485">
        <f t="shared" si="6"/>
        <v>6717.6744186046508</v>
      </c>
      <c r="F55" s="486">
        <f t="shared" si="7"/>
        <v>5031.3399778517451</v>
      </c>
      <c r="G55" s="487">
        <f t="shared" si="8"/>
        <v>7683.0174579139621</v>
      </c>
      <c r="H55" s="456">
        <f t="shared" si="9"/>
        <v>7683.0174579139621</v>
      </c>
      <c r="I55" s="476">
        <f t="shared" si="3"/>
        <v>0</v>
      </c>
      <c r="J55" s="476"/>
      <c r="K55" s="488"/>
      <c r="L55" s="479">
        <f t="shared" si="0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5"/>
        <v/>
      </c>
      <c r="C56" s="473">
        <f>IF(D11="","-",+C55+1)</f>
        <v>2057</v>
      </c>
      <c r="D56" s="484">
        <f>IF(F55+SUM(E$17:E55)=D$10,F55,D$10-SUM(E$17:E55))</f>
        <v>5031.3399778517451</v>
      </c>
      <c r="E56" s="485">
        <f t="shared" si="6"/>
        <v>5031.3399778517451</v>
      </c>
      <c r="F56" s="486">
        <f t="shared" si="7"/>
        <v>0</v>
      </c>
      <c r="G56" s="487">
        <f t="shared" si="8"/>
        <v>5320.7837474931184</v>
      </c>
      <c r="H56" s="456">
        <f t="shared" si="9"/>
        <v>5320.7837474931184</v>
      </c>
      <c r="I56" s="476">
        <f t="shared" si="3"/>
        <v>0</v>
      </c>
      <c r="J56" s="476"/>
      <c r="K56" s="488"/>
      <c r="L56" s="479">
        <f t="shared" si="0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5"/>
        <v/>
      </c>
      <c r="C57" s="473">
        <f>IF(D11="","-",+C56+1)</f>
        <v>2058</v>
      </c>
      <c r="D57" s="484">
        <f>IF(F56+SUM(E$17:E56)=D$10,F56,D$10-SUM(E$17:E56))</f>
        <v>0</v>
      </c>
      <c r="E57" s="485">
        <f t="shared" si="6"/>
        <v>0</v>
      </c>
      <c r="F57" s="486">
        <f t="shared" si="7"/>
        <v>0</v>
      </c>
      <c r="G57" s="487">
        <f t="shared" si="8"/>
        <v>0</v>
      </c>
      <c r="H57" s="456">
        <f t="shared" si="9"/>
        <v>0</v>
      </c>
      <c r="I57" s="476">
        <f t="shared" si="3"/>
        <v>0</v>
      </c>
      <c r="J57" s="476"/>
      <c r="K57" s="488"/>
      <c r="L57" s="479">
        <f t="shared" si="0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5"/>
        <v/>
      </c>
      <c r="C58" s="473">
        <f>IF(D11="","-",+C57+1)</f>
        <v>2059</v>
      </c>
      <c r="D58" s="484">
        <f>IF(F57+SUM(E$17:E57)=D$10,F57,D$10-SUM(E$17:E57))</f>
        <v>0</v>
      </c>
      <c r="E58" s="485">
        <f t="shared" si="6"/>
        <v>0</v>
      </c>
      <c r="F58" s="486">
        <f t="shared" si="7"/>
        <v>0</v>
      </c>
      <c r="G58" s="487">
        <f t="shared" si="8"/>
        <v>0</v>
      </c>
      <c r="H58" s="456">
        <f t="shared" si="9"/>
        <v>0</v>
      </c>
      <c r="I58" s="476">
        <f t="shared" si="3"/>
        <v>0</v>
      </c>
      <c r="J58" s="476"/>
      <c r="K58" s="488"/>
      <c r="L58" s="479">
        <f t="shared" si="0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5"/>
        <v/>
      </c>
      <c r="C59" s="473">
        <f>IF(D11="","-",+C58+1)</f>
        <v>2060</v>
      </c>
      <c r="D59" s="484">
        <f>IF(F58+SUM(E$17:E58)=D$10,F58,D$10-SUM(E$17:E58))</f>
        <v>0</v>
      </c>
      <c r="E59" s="485">
        <f t="shared" si="6"/>
        <v>0</v>
      </c>
      <c r="F59" s="486">
        <f t="shared" si="7"/>
        <v>0</v>
      </c>
      <c r="G59" s="487">
        <f t="shared" si="8"/>
        <v>0</v>
      </c>
      <c r="H59" s="456">
        <f t="shared" si="9"/>
        <v>0</v>
      </c>
      <c r="I59" s="476">
        <f t="shared" si="3"/>
        <v>0</v>
      </c>
      <c r="J59" s="476"/>
      <c r="K59" s="488"/>
      <c r="L59" s="479">
        <f t="shared" si="0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5"/>
        <v/>
      </c>
      <c r="C60" s="473">
        <f>IF(D11="","-",+C59+1)</f>
        <v>2061</v>
      </c>
      <c r="D60" s="484">
        <f>IF(F59+SUM(E$17:E59)=D$10,F59,D$10-SUM(E$17:E59))</f>
        <v>0</v>
      </c>
      <c r="E60" s="485">
        <f t="shared" si="6"/>
        <v>0</v>
      </c>
      <c r="F60" s="486">
        <f t="shared" si="7"/>
        <v>0</v>
      </c>
      <c r="G60" s="487">
        <f t="shared" si="8"/>
        <v>0</v>
      </c>
      <c r="H60" s="456">
        <f t="shared" si="9"/>
        <v>0</v>
      </c>
      <c r="I60" s="476">
        <f t="shared" si="3"/>
        <v>0</v>
      </c>
      <c r="J60" s="476"/>
      <c r="K60" s="488"/>
      <c r="L60" s="479">
        <f t="shared" si="0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5"/>
        <v/>
      </c>
      <c r="C61" s="473">
        <f>IF(D11="","-",+C60+1)</f>
        <v>2062</v>
      </c>
      <c r="D61" s="484">
        <f>IF(F60+SUM(E$17:E60)=D$10,F60,D$10-SUM(E$17:E60))</f>
        <v>0</v>
      </c>
      <c r="E61" s="485">
        <f t="shared" si="6"/>
        <v>0</v>
      </c>
      <c r="F61" s="486">
        <f t="shared" si="7"/>
        <v>0</v>
      </c>
      <c r="G61" s="487">
        <f t="shared" si="8"/>
        <v>0</v>
      </c>
      <c r="H61" s="456">
        <f t="shared" si="9"/>
        <v>0</v>
      </c>
      <c r="I61" s="476">
        <f t="shared" si="3"/>
        <v>0</v>
      </c>
      <c r="J61" s="476"/>
      <c r="K61" s="488"/>
      <c r="L61" s="479">
        <f t="shared" si="0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5"/>
        <v/>
      </c>
      <c r="C62" s="473">
        <f>IF(D11="","-",+C61+1)</f>
        <v>2063</v>
      </c>
      <c r="D62" s="484">
        <f>IF(F61+SUM(E$17:E61)=D$10,F61,D$10-SUM(E$17:E61))</f>
        <v>0</v>
      </c>
      <c r="E62" s="485">
        <f t="shared" si="6"/>
        <v>0</v>
      </c>
      <c r="F62" s="486">
        <f t="shared" si="7"/>
        <v>0</v>
      </c>
      <c r="G62" s="487">
        <f t="shared" si="8"/>
        <v>0</v>
      </c>
      <c r="H62" s="456">
        <f t="shared" si="9"/>
        <v>0</v>
      </c>
      <c r="I62" s="476">
        <f t="shared" si="3"/>
        <v>0</v>
      </c>
      <c r="J62" s="476"/>
      <c r="K62" s="488"/>
      <c r="L62" s="479">
        <f t="shared" si="0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5"/>
        <v/>
      </c>
      <c r="C63" s="473">
        <f>IF(D11="","-",+C62+1)</f>
        <v>2064</v>
      </c>
      <c r="D63" s="484">
        <f>IF(F62+SUM(E$17:E62)=D$10,F62,D$10-SUM(E$17:E62))</f>
        <v>0</v>
      </c>
      <c r="E63" s="485">
        <f t="shared" si="6"/>
        <v>0</v>
      </c>
      <c r="F63" s="486">
        <f t="shared" si="7"/>
        <v>0</v>
      </c>
      <c r="G63" s="487">
        <f t="shared" si="8"/>
        <v>0</v>
      </c>
      <c r="H63" s="456">
        <f t="shared" si="9"/>
        <v>0</v>
      </c>
      <c r="I63" s="476">
        <f t="shared" si="3"/>
        <v>0</v>
      </c>
      <c r="J63" s="476"/>
      <c r="K63" s="488"/>
      <c r="L63" s="479">
        <f t="shared" si="0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5"/>
        <v/>
      </c>
      <c r="C64" s="473">
        <f>IF(D11="","-",+C63+1)</f>
        <v>2065</v>
      </c>
      <c r="D64" s="484">
        <f>IF(F63+SUM(E$17:E63)=D$10,F63,D$10-SUM(E$17:E63))</f>
        <v>0</v>
      </c>
      <c r="E64" s="485">
        <f t="shared" si="6"/>
        <v>0</v>
      </c>
      <c r="F64" s="486">
        <f t="shared" si="7"/>
        <v>0</v>
      </c>
      <c r="G64" s="487">
        <f t="shared" si="8"/>
        <v>0</v>
      </c>
      <c r="H64" s="456">
        <f t="shared" si="9"/>
        <v>0</v>
      </c>
      <c r="I64" s="476">
        <f t="shared" si="3"/>
        <v>0</v>
      </c>
      <c r="J64" s="476"/>
      <c r="K64" s="488"/>
      <c r="L64" s="479">
        <f t="shared" si="0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5"/>
        <v/>
      </c>
      <c r="C65" s="473">
        <f>IF(D11="","-",+C64+1)</f>
        <v>2066</v>
      </c>
      <c r="D65" s="484">
        <f>IF(F64+SUM(E$17:E64)=D$10,F64,D$10-SUM(E$17:E64))</f>
        <v>0</v>
      </c>
      <c r="E65" s="485">
        <f t="shared" si="6"/>
        <v>0</v>
      </c>
      <c r="F65" s="486">
        <f t="shared" si="7"/>
        <v>0</v>
      </c>
      <c r="G65" s="487">
        <f t="shared" si="8"/>
        <v>0</v>
      </c>
      <c r="H65" s="456">
        <f t="shared" si="9"/>
        <v>0</v>
      </c>
      <c r="I65" s="476">
        <f t="shared" si="3"/>
        <v>0</v>
      </c>
      <c r="J65" s="476"/>
      <c r="K65" s="488"/>
      <c r="L65" s="479">
        <f t="shared" si="0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5"/>
        <v/>
      </c>
      <c r="C66" s="473">
        <f>IF(D11="","-",+C65+1)</f>
        <v>2067</v>
      </c>
      <c r="D66" s="484">
        <f>IF(F65+SUM(E$17:E65)=D$10,F65,D$10-SUM(E$17:E65))</f>
        <v>0</v>
      </c>
      <c r="E66" s="485">
        <f t="shared" si="6"/>
        <v>0</v>
      </c>
      <c r="F66" s="486">
        <f t="shared" si="7"/>
        <v>0</v>
      </c>
      <c r="G66" s="487">
        <f t="shared" si="8"/>
        <v>0</v>
      </c>
      <c r="H66" s="456">
        <f t="shared" si="9"/>
        <v>0</v>
      </c>
      <c r="I66" s="476">
        <f t="shared" si="3"/>
        <v>0</v>
      </c>
      <c r="J66" s="476"/>
      <c r="K66" s="488"/>
      <c r="L66" s="479">
        <f t="shared" si="0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5"/>
        <v/>
      </c>
      <c r="C67" s="473">
        <f>IF(D11="","-",+C66+1)</f>
        <v>2068</v>
      </c>
      <c r="D67" s="484">
        <f>IF(F66+SUM(E$17:E66)=D$10,F66,D$10-SUM(E$17:E66))</f>
        <v>0</v>
      </c>
      <c r="E67" s="485">
        <f t="shared" si="6"/>
        <v>0</v>
      </c>
      <c r="F67" s="486">
        <f t="shared" si="7"/>
        <v>0</v>
      </c>
      <c r="G67" s="487">
        <f t="shared" si="8"/>
        <v>0</v>
      </c>
      <c r="H67" s="456">
        <f t="shared" si="9"/>
        <v>0</v>
      </c>
      <c r="I67" s="476">
        <f t="shared" si="3"/>
        <v>0</v>
      </c>
      <c r="J67" s="476"/>
      <c r="K67" s="488"/>
      <c r="L67" s="479">
        <f t="shared" si="0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5"/>
        <v/>
      </c>
      <c r="C68" s="473">
        <f>IF(D11="","-",+C67+1)</f>
        <v>2069</v>
      </c>
      <c r="D68" s="484">
        <f>IF(F67+SUM(E$17:E67)=D$10,F67,D$10-SUM(E$17:E67))</f>
        <v>0</v>
      </c>
      <c r="E68" s="485">
        <f t="shared" si="6"/>
        <v>0</v>
      </c>
      <c r="F68" s="486">
        <f t="shared" si="7"/>
        <v>0</v>
      </c>
      <c r="G68" s="487">
        <f t="shared" si="8"/>
        <v>0</v>
      </c>
      <c r="H68" s="456">
        <f t="shared" si="9"/>
        <v>0</v>
      </c>
      <c r="I68" s="476">
        <f t="shared" si="3"/>
        <v>0</v>
      </c>
      <c r="J68" s="476"/>
      <c r="K68" s="488"/>
      <c r="L68" s="479">
        <f t="shared" si="0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5"/>
        <v/>
      </c>
      <c r="C69" s="473">
        <f>IF(D11="","-",+C68+1)</f>
        <v>2070</v>
      </c>
      <c r="D69" s="484">
        <f>IF(F68+SUM(E$17:E68)=D$10,F68,D$10-SUM(E$17:E68))</f>
        <v>0</v>
      </c>
      <c r="E69" s="485">
        <f t="shared" si="6"/>
        <v>0</v>
      </c>
      <c r="F69" s="486">
        <f t="shared" si="7"/>
        <v>0</v>
      </c>
      <c r="G69" s="487">
        <f t="shared" si="8"/>
        <v>0</v>
      </c>
      <c r="H69" s="456">
        <f t="shared" si="9"/>
        <v>0</v>
      </c>
      <c r="I69" s="476">
        <f t="shared" si="3"/>
        <v>0</v>
      </c>
      <c r="J69" s="476"/>
      <c r="K69" s="488"/>
      <c r="L69" s="479">
        <f t="shared" si="0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5"/>
        <v/>
      </c>
      <c r="C70" s="473">
        <f>IF(D11="","-",+C69+1)</f>
        <v>2071</v>
      </c>
      <c r="D70" s="484">
        <f>IF(F69+SUM(E$17:E69)=D$10,F69,D$10-SUM(E$17:E69))</f>
        <v>0</v>
      </c>
      <c r="E70" s="485">
        <f t="shared" si="6"/>
        <v>0</v>
      </c>
      <c r="F70" s="486">
        <f t="shared" si="7"/>
        <v>0</v>
      </c>
      <c r="G70" s="487">
        <f t="shared" si="8"/>
        <v>0</v>
      </c>
      <c r="H70" s="456">
        <f t="shared" si="9"/>
        <v>0</v>
      </c>
      <c r="I70" s="476">
        <f t="shared" si="3"/>
        <v>0</v>
      </c>
      <c r="J70" s="476"/>
      <c r="K70" s="488"/>
      <c r="L70" s="479">
        <f t="shared" si="0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5"/>
        <v/>
      </c>
      <c r="C71" s="473">
        <f>IF(D11="","-",+C70+1)</f>
        <v>2072</v>
      </c>
      <c r="D71" s="484">
        <f>IF(F70+SUM(E$17:E70)=D$10,F70,D$10-SUM(E$17:E70))</f>
        <v>0</v>
      </c>
      <c r="E71" s="485">
        <f t="shared" si="6"/>
        <v>0</v>
      </c>
      <c r="F71" s="486">
        <f t="shared" si="7"/>
        <v>0</v>
      </c>
      <c r="G71" s="487">
        <f t="shared" si="8"/>
        <v>0</v>
      </c>
      <c r="H71" s="456">
        <f t="shared" si="9"/>
        <v>0</v>
      </c>
      <c r="I71" s="476">
        <f t="shared" si="3"/>
        <v>0</v>
      </c>
      <c r="J71" s="476"/>
      <c r="K71" s="488"/>
      <c r="L71" s="479">
        <f t="shared" si="0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5"/>
        <v/>
      </c>
      <c r="C72" s="490">
        <f>IF(D11="","-",+C71+1)</f>
        <v>2073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0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288859.99999999994</v>
      </c>
      <c r="F73" s="348"/>
      <c r="G73" s="348">
        <f>SUM(G17:G72)</f>
        <v>1047325.3596144646</v>
      </c>
      <c r="H73" s="348">
        <f>SUM(H17:H72)</f>
        <v>1047325.3596144646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25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35671.491974766584</v>
      </c>
      <c r="N87" s="509">
        <f>IF(J92&lt;D11,0,VLOOKUP(J92,C17:O72,11))</f>
        <v>35671.491974766584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38418.229655174066</v>
      </c>
      <c r="N88" s="513">
        <f>IF(J92&lt;D11,0,VLOOKUP(J92,C99:P154,7))</f>
        <v>38418.229655174066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Fort Towson-Valliant Line Rebuild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2746.7376804074811</v>
      </c>
      <c r="N89" s="518">
        <f>+N88-N87</f>
        <v>2746.7376804074811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TP2015204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288860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12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6718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2018</v>
      </c>
      <c r="D99" s="585">
        <v>0</v>
      </c>
      <c r="E99" s="609">
        <v>3512.5</v>
      </c>
      <c r="F99" s="585">
        <v>298567.5</v>
      </c>
      <c r="G99" s="609">
        <v>149283.75</v>
      </c>
      <c r="H99" s="588">
        <v>18849.250674297917</v>
      </c>
      <c r="I99" s="608">
        <v>18849.250674297917</v>
      </c>
      <c r="J99" s="479">
        <f>+I99-H99</f>
        <v>0</v>
      </c>
      <c r="K99" s="479"/>
      <c r="L99" s="478">
        <f>+H99</f>
        <v>18849.250674297917</v>
      </c>
      <c r="M99" s="478">
        <f t="shared" ref="M99" si="10">IF(L99&lt;&gt;0,+H99-L99,0)</f>
        <v>0</v>
      </c>
      <c r="N99" s="478">
        <f>+I99</f>
        <v>18849.250674297917</v>
      </c>
      <c r="O99" s="478">
        <f t="shared" ref="O99" si="11">IF(N99&lt;&gt;0,+I99-N99,0)</f>
        <v>0</v>
      </c>
      <c r="P99" s="478">
        <f t="shared" ref="P99" si="12">+O99-M99</f>
        <v>0</v>
      </c>
    </row>
    <row r="100" spans="1:16" ht="12.5">
      <c r="B100" s="160" t="str">
        <f>IF(D100=F99,"","IU")</f>
        <v>IU</v>
      </c>
      <c r="C100" s="473">
        <f>IF(D93="","-",+C99+1)</f>
        <v>2019</v>
      </c>
      <c r="D100" s="585">
        <v>285347.5</v>
      </c>
      <c r="E100" s="586">
        <v>7045</v>
      </c>
      <c r="F100" s="587">
        <v>278302.5</v>
      </c>
      <c r="G100" s="587">
        <v>281825</v>
      </c>
      <c r="H100" s="607">
        <v>36105.110400173638</v>
      </c>
      <c r="I100" s="608">
        <v>36105.110400173638</v>
      </c>
      <c r="J100" s="479">
        <f t="shared" ref="J100:J130" si="13">+I100-H100</f>
        <v>0</v>
      </c>
      <c r="K100" s="479"/>
      <c r="L100" s="477">
        <f>H100</f>
        <v>36105.110400173638</v>
      </c>
      <c r="M100" s="349">
        <f>IF(L100&lt;&gt;0,+H100-L100,0)</f>
        <v>0</v>
      </c>
      <c r="N100" s="477">
        <f>I100</f>
        <v>36105.110400173638</v>
      </c>
      <c r="O100" s="479">
        <f t="shared" ref="O100:O130" si="14">IF(N100&lt;&gt;0,+I100-N100,0)</f>
        <v>0</v>
      </c>
      <c r="P100" s="479">
        <f t="shared" ref="P100:P130" si="15">+O100-M100</f>
        <v>0</v>
      </c>
    </row>
    <row r="101" spans="1:16" ht="12.5">
      <c r="B101" s="160" t="str">
        <f t="shared" ref="B101:B154" si="16">IF(D101=F100,"","IU")</f>
        <v/>
      </c>
      <c r="C101" s="473">
        <f>IF(D93="","-",+C100+1)</f>
        <v>2020</v>
      </c>
      <c r="D101" s="347">
        <f>IF(F100+SUM(E$99:E100)=D$92,F100,D$92-SUM(E$99:E100))</f>
        <v>278302.5</v>
      </c>
      <c r="E101" s="485">
        <f t="shared" ref="E101:E154" si="17">IF(+J$96&lt;F100,J$96,D101)</f>
        <v>6718</v>
      </c>
      <c r="F101" s="486">
        <f t="shared" ref="F101:F154" si="18">+D101-E101</f>
        <v>271584.5</v>
      </c>
      <c r="G101" s="486">
        <f t="shared" ref="G101:G154" si="19">+(F101+D101)/2</f>
        <v>274943.5</v>
      </c>
      <c r="H101" s="487">
        <f>(D101+F101)/2*J$94+E101</f>
        <v>38418.229655174066</v>
      </c>
      <c r="I101" s="543">
        <f t="shared" ref="I101:I154" si="20">+J$95*G101+E101</f>
        <v>38418.229655174066</v>
      </c>
      <c r="J101" s="479">
        <f t="shared" si="13"/>
        <v>0</v>
      </c>
      <c r="K101" s="479"/>
      <c r="L101" s="488"/>
      <c r="M101" s="479">
        <f t="shared" ref="M101:M130" si="21">IF(L101&lt;&gt;0,+H101-L101,0)</f>
        <v>0</v>
      </c>
      <c r="N101" s="488"/>
      <c r="O101" s="479">
        <f t="shared" si="14"/>
        <v>0</v>
      </c>
      <c r="P101" s="479">
        <f t="shared" si="15"/>
        <v>0</v>
      </c>
    </row>
    <row r="102" spans="1:16" ht="12.5">
      <c r="B102" s="160" t="str">
        <f t="shared" si="16"/>
        <v/>
      </c>
      <c r="C102" s="473">
        <f>IF(D93="","-",+C101+1)</f>
        <v>2021</v>
      </c>
      <c r="D102" s="347">
        <f>IF(F101+SUM(E$99:E101)=D$92,F101,D$92-SUM(E$99:E101))</f>
        <v>271584.5</v>
      </c>
      <c r="E102" s="485">
        <f t="shared" si="17"/>
        <v>6718</v>
      </c>
      <c r="F102" s="486">
        <f t="shared" si="18"/>
        <v>264866.5</v>
      </c>
      <c r="G102" s="486">
        <f t="shared" si="19"/>
        <v>268225.5</v>
      </c>
      <c r="H102" s="487">
        <f t="shared" ref="H102:H153" si="22">(D102+F102)/2*J$94+E102</f>
        <v>37643.662724792157</v>
      </c>
      <c r="I102" s="543">
        <f t="shared" ref="I102:I153" si="23">+J$95*G102+E102</f>
        <v>37643.662724792157</v>
      </c>
      <c r="J102" s="479">
        <f t="shared" si="13"/>
        <v>0</v>
      </c>
      <c r="K102" s="479"/>
      <c r="L102" s="488"/>
      <c r="M102" s="479">
        <f t="shared" si="21"/>
        <v>0</v>
      </c>
      <c r="N102" s="488"/>
      <c r="O102" s="479">
        <f t="shared" si="14"/>
        <v>0</v>
      </c>
      <c r="P102" s="479">
        <f t="shared" si="15"/>
        <v>0</v>
      </c>
    </row>
    <row r="103" spans="1:16" ht="12.5">
      <c r="B103" s="160" t="str">
        <f t="shared" si="16"/>
        <v/>
      </c>
      <c r="C103" s="473">
        <f>IF(D93="","-",+C102+1)</f>
        <v>2022</v>
      </c>
      <c r="D103" s="347">
        <f>IF(F102+SUM(E$99:E102)=D$92,F102,D$92-SUM(E$99:E102))</f>
        <v>264866.5</v>
      </c>
      <c r="E103" s="485">
        <f t="shared" si="17"/>
        <v>6718</v>
      </c>
      <c r="F103" s="486">
        <f t="shared" si="18"/>
        <v>258148.5</v>
      </c>
      <c r="G103" s="486">
        <f t="shared" si="19"/>
        <v>261507.5</v>
      </c>
      <c r="H103" s="487">
        <f t="shared" si="22"/>
        <v>36869.095794410241</v>
      </c>
      <c r="I103" s="543">
        <f t="shared" si="23"/>
        <v>36869.095794410241</v>
      </c>
      <c r="J103" s="479">
        <f t="shared" si="13"/>
        <v>0</v>
      </c>
      <c r="K103" s="479"/>
      <c r="L103" s="488"/>
      <c r="M103" s="479">
        <f t="shared" si="21"/>
        <v>0</v>
      </c>
      <c r="N103" s="488"/>
      <c r="O103" s="479">
        <f t="shared" si="14"/>
        <v>0</v>
      </c>
      <c r="P103" s="479">
        <f t="shared" si="15"/>
        <v>0</v>
      </c>
    </row>
    <row r="104" spans="1:16" ht="12.5">
      <c r="B104" s="160" t="str">
        <f t="shared" si="16"/>
        <v/>
      </c>
      <c r="C104" s="473">
        <f>IF(D93="","-",+C103+1)</f>
        <v>2023</v>
      </c>
      <c r="D104" s="347">
        <f>IF(F103+SUM(E$99:E103)=D$92,F103,D$92-SUM(E$99:E103))</f>
        <v>258148.5</v>
      </c>
      <c r="E104" s="485">
        <f t="shared" si="17"/>
        <v>6718</v>
      </c>
      <c r="F104" s="486">
        <f t="shared" si="18"/>
        <v>251430.5</v>
      </c>
      <c r="G104" s="486">
        <f t="shared" si="19"/>
        <v>254789.5</v>
      </c>
      <c r="H104" s="487">
        <f t="shared" si="22"/>
        <v>36094.528864028325</v>
      </c>
      <c r="I104" s="543">
        <f t="shared" si="23"/>
        <v>36094.528864028325</v>
      </c>
      <c r="J104" s="479">
        <f t="shared" si="13"/>
        <v>0</v>
      </c>
      <c r="K104" s="479"/>
      <c r="L104" s="488"/>
      <c r="M104" s="479">
        <f t="shared" si="21"/>
        <v>0</v>
      </c>
      <c r="N104" s="488"/>
      <c r="O104" s="479">
        <f t="shared" si="14"/>
        <v>0</v>
      </c>
      <c r="P104" s="479">
        <f t="shared" si="15"/>
        <v>0</v>
      </c>
    </row>
    <row r="105" spans="1:16" ht="12.5">
      <c r="B105" s="160" t="str">
        <f t="shared" si="16"/>
        <v/>
      </c>
      <c r="C105" s="473">
        <f>IF(D93="","-",+C104+1)</f>
        <v>2024</v>
      </c>
      <c r="D105" s="347">
        <f>IF(F104+SUM(E$99:E104)=D$92,F104,D$92-SUM(E$99:E104))</f>
        <v>251430.5</v>
      </c>
      <c r="E105" s="485">
        <f t="shared" si="17"/>
        <v>6718</v>
      </c>
      <c r="F105" s="486">
        <f t="shared" si="18"/>
        <v>244712.5</v>
      </c>
      <c r="G105" s="486">
        <f t="shared" si="19"/>
        <v>248071.5</v>
      </c>
      <c r="H105" s="487">
        <f t="shared" si="22"/>
        <v>35319.961933646417</v>
      </c>
      <c r="I105" s="543">
        <f t="shared" si="23"/>
        <v>35319.961933646417</v>
      </c>
      <c r="J105" s="479">
        <f t="shared" si="13"/>
        <v>0</v>
      </c>
      <c r="K105" s="479"/>
      <c r="L105" s="488"/>
      <c r="M105" s="479">
        <f t="shared" si="21"/>
        <v>0</v>
      </c>
      <c r="N105" s="488"/>
      <c r="O105" s="479">
        <f t="shared" si="14"/>
        <v>0</v>
      </c>
      <c r="P105" s="479">
        <f t="shared" si="15"/>
        <v>0</v>
      </c>
    </row>
    <row r="106" spans="1:16" ht="12.5">
      <c r="B106" s="160" t="str">
        <f t="shared" si="16"/>
        <v/>
      </c>
      <c r="C106" s="473">
        <f>IF(D93="","-",+C105+1)</f>
        <v>2025</v>
      </c>
      <c r="D106" s="347">
        <f>IF(F105+SUM(E$99:E105)=D$92,F105,D$92-SUM(E$99:E105))</f>
        <v>244712.5</v>
      </c>
      <c r="E106" s="485">
        <f t="shared" si="17"/>
        <v>6718</v>
      </c>
      <c r="F106" s="486">
        <f t="shared" si="18"/>
        <v>237994.5</v>
      </c>
      <c r="G106" s="486">
        <f t="shared" si="19"/>
        <v>241353.5</v>
      </c>
      <c r="H106" s="487">
        <f t="shared" si="22"/>
        <v>34545.395003264508</v>
      </c>
      <c r="I106" s="543">
        <f t="shared" si="23"/>
        <v>34545.395003264508</v>
      </c>
      <c r="J106" s="479">
        <f t="shared" si="13"/>
        <v>0</v>
      </c>
      <c r="K106" s="479"/>
      <c r="L106" s="488"/>
      <c r="M106" s="479">
        <f t="shared" si="21"/>
        <v>0</v>
      </c>
      <c r="N106" s="488"/>
      <c r="O106" s="479">
        <f t="shared" si="14"/>
        <v>0</v>
      </c>
      <c r="P106" s="479">
        <f t="shared" si="15"/>
        <v>0</v>
      </c>
    </row>
    <row r="107" spans="1:16" ht="12.5">
      <c r="B107" s="160" t="str">
        <f t="shared" si="16"/>
        <v/>
      </c>
      <c r="C107" s="473">
        <f>IF(D93="","-",+C106+1)</f>
        <v>2026</v>
      </c>
      <c r="D107" s="347">
        <f>IF(F106+SUM(E$99:E106)=D$92,F106,D$92-SUM(E$99:E106))</f>
        <v>237994.5</v>
      </c>
      <c r="E107" s="485">
        <f t="shared" si="17"/>
        <v>6718</v>
      </c>
      <c r="F107" s="486">
        <f t="shared" si="18"/>
        <v>231276.5</v>
      </c>
      <c r="G107" s="486">
        <f t="shared" si="19"/>
        <v>234635.5</v>
      </c>
      <c r="H107" s="487">
        <f t="shared" si="22"/>
        <v>33770.828072882592</v>
      </c>
      <c r="I107" s="543">
        <f t="shared" si="23"/>
        <v>33770.828072882592</v>
      </c>
      <c r="J107" s="479">
        <f t="shared" si="13"/>
        <v>0</v>
      </c>
      <c r="K107" s="479"/>
      <c r="L107" s="488"/>
      <c r="M107" s="479">
        <f t="shared" si="21"/>
        <v>0</v>
      </c>
      <c r="N107" s="488"/>
      <c r="O107" s="479">
        <f t="shared" si="14"/>
        <v>0</v>
      </c>
      <c r="P107" s="479">
        <f t="shared" si="15"/>
        <v>0</v>
      </c>
    </row>
    <row r="108" spans="1:16" ht="12.5">
      <c r="B108" s="160" t="str">
        <f t="shared" si="16"/>
        <v/>
      </c>
      <c r="C108" s="473">
        <f>IF(D93="","-",+C107+1)</f>
        <v>2027</v>
      </c>
      <c r="D108" s="347">
        <f>IF(F107+SUM(E$99:E107)=D$92,F107,D$92-SUM(E$99:E107))</f>
        <v>231276.5</v>
      </c>
      <c r="E108" s="485">
        <f t="shared" si="17"/>
        <v>6718</v>
      </c>
      <c r="F108" s="486">
        <f t="shared" si="18"/>
        <v>224558.5</v>
      </c>
      <c r="G108" s="486">
        <f t="shared" si="19"/>
        <v>227917.5</v>
      </c>
      <c r="H108" s="487">
        <f t="shared" si="22"/>
        <v>32996.261142500676</v>
      </c>
      <c r="I108" s="543">
        <f t="shared" si="23"/>
        <v>32996.261142500676</v>
      </c>
      <c r="J108" s="479">
        <f t="shared" si="13"/>
        <v>0</v>
      </c>
      <c r="K108" s="479"/>
      <c r="L108" s="488"/>
      <c r="M108" s="479">
        <f t="shared" si="21"/>
        <v>0</v>
      </c>
      <c r="N108" s="488"/>
      <c r="O108" s="479">
        <f t="shared" si="14"/>
        <v>0</v>
      </c>
      <c r="P108" s="479">
        <f t="shared" si="15"/>
        <v>0</v>
      </c>
    </row>
    <row r="109" spans="1:16" ht="12.5">
      <c r="B109" s="160" t="str">
        <f t="shared" si="16"/>
        <v/>
      </c>
      <c r="C109" s="473">
        <f>IF(D93="","-",+C108+1)</f>
        <v>2028</v>
      </c>
      <c r="D109" s="347">
        <f>IF(F108+SUM(E$99:E108)=D$92,F108,D$92-SUM(E$99:E108))</f>
        <v>224558.5</v>
      </c>
      <c r="E109" s="485">
        <f t="shared" si="17"/>
        <v>6718</v>
      </c>
      <c r="F109" s="486">
        <f t="shared" si="18"/>
        <v>217840.5</v>
      </c>
      <c r="G109" s="486">
        <f t="shared" si="19"/>
        <v>221199.5</v>
      </c>
      <c r="H109" s="487">
        <f t="shared" si="22"/>
        <v>32221.694212118768</v>
      </c>
      <c r="I109" s="543">
        <f t="shared" si="23"/>
        <v>32221.694212118768</v>
      </c>
      <c r="J109" s="479">
        <f t="shared" si="13"/>
        <v>0</v>
      </c>
      <c r="K109" s="479"/>
      <c r="L109" s="488"/>
      <c r="M109" s="479">
        <f t="shared" si="21"/>
        <v>0</v>
      </c>
      <c r="N109" s="488"/>
      <c r="O109" s="479">
        <f t="shared" si="14"/>
        <v>0</v>
      </c>
      <c r="P109" s="479">
        <f t="shared" si="15"/>
        <v>0</v>
      </c>
    </row>
    <row r="110" spans="1:16" ht="12.5">
      <c r="B110" s="160" t="str">
        <f t="shared" si="16"/>
        <v/>
      </c>
      <c r="C110" s="473">
        <f>IF(D93="","-",+C109+1)</f>
        <v>2029</v>
      </c>
      <c r="D110" s="347">
        <f>IF(F109+SUM(E$99:E109)=D$92,F109,D$92-SUM(E$99:E109))</f>
        <v>217840.5</v>
      </c>
      <c r="E110" s="485">
        <f t="shared" si="17"/>
        <v>6718</v>
      </c>
      <c r="F110" s="486">
        <f t="shared" si="18"/>
        <v>211122.5</v>
      </c>
      <c r="G110" s="486">
        <f t="shared" si="19"/>
        <v>214481.5</v>
      </c>
      <c r="H110" s="487">
        <f t="shared" si="22"/>
        <v>31447.127281736855</v>
      </c>
      <c r="I110" s="543">
        <f t="shared" si="23"/>
        <v>31447.127281736855</v>
      </c>
      <c r="J110" s="479">
        <f t="shared" si="13"/>
        <v>0</v>
      </c>
      <c r="K110" s="479"/>
      <c r="L110" s="488"/>
      <c r="M110" s="479">
        <f t="shared" si="21"/>
        <v>0</v>
      </c>
      <c r="N110" s="488"/>
      <c r="O110" s="479">
        <f t="shared" si="14"/>
        <v>0</v>
      </c>
      <c r="P110" s="479">
        <f t="shared" si="15"/>
        <v>0</v>
      </c>
    </row>
    <row r="111" spans="1:16" ht="12.5">
      <c r="B111" s="160" t="str">
        <f t="shared" si="16"/>
        <v/>
      </c>
      <c r="C111" s="473">
        <f>IF(D93="","-",+C110+1)</f>
        <v>2030</v>
      </c>
      <c r="D111" s="347">
        <f>IF(F110+SUM(E$99:E110)=D$92,F110,D$92-SUM(E$99:E110))</f>
        <v>211122.5</v>
      </c>
      <c r="E111" s="485">
        <f t="shared" si="17"/>
        <v>6718</v>
      </c>
      <c r="F111" s="486">
        <f t="shared" si="18"/>
        <v>204404.5</v>
      </c>
      <c r="G111" s="486">
        <f t="shared" si="19"/>
        <v>207763.5</v>
      </c>
      <c r="H111" s="487">
        <f t="shared" si="22"/>
        <v>30672.560351354939</v>
      </c>
      <c r="I111" s="543">
        <f t="shared" si="23"/>
        <v>30672.560351354939</v>
      </c>
      <c r="J111" s="479">
        <f t="shared" si="13"/>
        <v>0</v>
      </c>
      <c r="K111" s="479"/>
      <c r="L111" s="488"/>
      <c r="M111" s="479">
        <f t="shared" si="21"/>
        <v>0</v>
      </c>
      <c r="N111" s="488"/>
      <c r="O111" s="479">
        <f t="shared" si="14"/>
        <v>0</v>
      </c>
      <c r="P111" s="479">
        <f t="shared" si="15"/>
        <v>0</v>
      </c>
    </row>
    <row r="112" spans="1:16" ht="12.5">
      <c r="B112" s="160" t="str">
        <f t="shared" si="16"/>
        <v/>
      </c>
      <c r="C112" s="473">
        <f>IF(D93="","-",+C111+1)</f>
        <v>2031</v>
      </c>
      <c r="D112" s="347">
        <f>IF(F111+SUM(E$99:E111)=D$92,F111,D$92-SUM(E$99:E111))</f>
        <v>204404.5</v>
      </c>
      <c r="E112" s="485">
        <f t="shared" si="17"/>
        <v>6718</v>
      </c>
      <c r="F112" s="486">
        <f t="shared" si="18"/>
        <v>197686.5</v>
      </c>
      <c r="G112" s="486">
        <f t="shared" si="19"/>
        <v>201045.5</v>
      </c>
      <c r="H112" s="487">
        <f t="shared" si="22"/>
        <v>29897.993420973027</v>
      </c>
      <c r="I112" s="543">
        <f t="shared" si="23"/>
        <v>29897.993420973027</v>
      </c>
      <c r="J112" s="479">
        <f t="shared" si="13"/>
        <v>0</v>
      </c>
      <c r="K112" s="479"/>
      <c r="L112" s="488"/>
      <c r="M112" s="479">
        <f t="shared" si="21"/>
        <v>0</v>
      </c>
      <c r="N112" s="488"/>
      <c r="O112" s="479">
        <f t="shared" si="14"/>
        <v>0</v>
      </c>
      <c r="P112" s="479">
        <f t="shared" si="15"/>
        <v>0</v>
      </c>
    </row>
    <row r="113" spans="2:16" ht="12.5">
      <c r="B113" s="160" t="str">
        <f t="shared" si="16"/>
        <v/>
      </c>
      <c r="C113" s="473">
        <f>IF(D93="","-",+C112+1)</f>
        <v>2032</v>
      </c>
      <c r="D113" s="347">
        <f>IF(F112+SUM(E$99:E112)=D$92,F112,D$92-SUM(E$99:E112))</f>
        <v>197686.5</v>
      </c>
      <c r="E113" s="485">
        <f t="shared" si="17"/>
        <v>6718</v>
      </c>
      <c r="F113" s="486">
        <f t="shared" si="18"/>
        <v>190968.5</v>
      </c>
      <c r="G113" s="486">
        <f t="shared" si="19"/>
        <v>194327.5</v>
      </c>
      <c r="H113" s="487">
        <f t="shared" si="22"/>
        <v>29123.426490591115</v>
      </c>
      <c r="I113" s="543">
        <f t="shared" si="23"/>
        <v>29123.426490591115</v>
      </c>
      <c r="J113" s="479">
        <f t="shared" si="13"/>
        <v>0</v>
      </c>
      <c r="K113" s="479"/>
      <c r="L113" s="488"/>
      <c r="M113" s="479">
        <f t="shared" si="21"/>
        <v>0</v>
      </c>
      <c r="N113" s="488"/>
      <c r="O113" s="479">
        <f t="shared" si="14"/>
        <v>0</v>
      </c>
      <c r="P113" s="479">
        <f t="shared" si="15"/>
        <v>0</v>
      </c>
    </row>
    <row r="114" spans="2:16" ht="12.5">
      <c r="B114" s="160" t="str">
        <f t="shared" si="16"/>
        <v/>
      </c>
      <c r="C114" s="473">
        <f>IF(D93="","-",+C113+1)</f>
        <v>2033</v>
      </c>
      <c r="D114" s="347">
        <f>IF(F113+SUM(E$99:E113)=D$92,F113,D$92-SUM(E$99:E113))</f>
        <v>190968.5</v>
      </c>
      <c r="E114" s="485">
        <f t="shared" si="17"/>
        <v>6718</v>
      </c>
      <c r="F114" s="486">
        <f t="shared" si="18"/>
        <v>184250.5</v>
      </c>
      <c r="G114" s="486">
        <f t="shared" si="19"/>
        <v>187609.5</v>
      </c>
      <c r="H114" s="487">
        <f t="shared" si="22"/>
        <v>28348.859560209203</v>
      </c>
      <c r="I114" s="543">
        <f t="shared" si="23"/>
        <v>28348.859560209203</v>
      </c>
      <c r="J114" s="479">
        <f t="shared" si="13"/>
        <v>0</v>
      </c>
      <c r="K114" s="479"/>
      <c r="L114" s="488"/>
      <c r="M114" s="479">
        <f t="shared" si="21"/>
        <v>0</v>
      </c>
      <c r="N114" s="488"/>
      <c r="O114" s="479">
        <f t="shared" si="14"/>
        <v>0</v>
      </c>
      <c r="P114" s="479">
        <f t="shared" si="15"/>
        <v>0</v>
      </c>
    </row>
    <row r="115" spans="2:16" ht="12.5">
      <c r="B115" s="160" t="str">
        <f t="shared" si="16"/>
        <v/>
      </c>
      <c r="C115" s="473">
        <f>IF(D93="","-",+C114+1)</f>
        <v>2034</v>
      </c>
      <c r="D115" s="347">
        <f>IF(F114+SUM(E$99:E114)=D$92,F114,D$92-SUM(E$99:E114))</f>
        <v>184250.5</v>
      </c>
      <c r="E115" s="485">
        <f t="shared" si="17"/>
        <v>6718</v>
      </c>
      <c r="F115" s="486">
        <f t="shared" si="18"/>
        <v>177532.5</v>
      </c>
      <c r="G115" s="486">
        <f t="shared" si="19"/>
        <v>180891.5</v>
      </c>
      <c r="H115" s="487">
        <f t="shared" si="22"/>
        <v>27574.292629827291</v>
      </c>
      <c r="I115" s="543">
        <f t="shared" si="23"/>
        <v>27574.292629827291</v>
      </c>
      <c r="J115" s="479">
        <f t="shared" si="13"/>
        <v>0</v>
      </c>
      <c r="K115" s="479"/>
      <c r="L115" s="488"/>
      <c r="M115" s="479">
        <f t="shared" si="21"/>
        <v>0</v>
      </c>
      <c r="N115" s="488"/>
      <c r="O115" s="479">
        <f t="shared" si="14"/>
        <v>0</v>
      </c>
      <c r="P115" s="479">
        <f t="shared" si="15"/>
        <v>0</v>
      </c>
    </row>
    <row r="116" spans="2:16" ht="12.5">
      <c r="B116" s="160" t="str">
        <f t="shared" si="16"/>
        <v/>
      </c>
      <c r="C116" s="473">
        <f>IF(D93="","-",+C115+1)</f>
        <v>2035</v>
      </c>
      <c r="D116" s="347">
        <f>IF(F115+SUM(E$99:E115)=D$92,F115,D$92-SUM(E$99:E115))</f>
        <v>177532.5</v>
      </c>
      <c r="E116" s="485">
        <f t="shared" si="17"/>
        <v>6718</v>
      </c>
      <c r="F116" s="486">
        <f t="shared" si="18"/>
        <v>170814.5</v>
      </c>
      <c r="G116" s="486">
        <f t="shared" si="19"/>
        <v>174173.5</v>
      </c>
      <c r="H116" s="487">
        <f t="shared" si="22"/>
        <v>26799.725699445378</v>
      </c>
      <c r="I116" s="543">
        <f t="shared" si="23"/>
        <v>26799.725699445378</v>
      </c>
      <c r="J116" s="479">
        <f t="shared" si="13"/>
        <v>0</v>
      </c>
      <c r="K116" s="479"/>
      <c r="L116" s="488"/>
      <c r="M116" s="479">
        <f t="shared" si="21"/>
        <v>0</v>
      </c>
      <c r="N116" s="488"/>
      <c r="O116" s="479">
        <f t="shared" si="14"/>
        <v>0</v>
      </c>
      <c r="P116" s="479">
        <f t="shared" si="15"/>
        <v>0</v>
      </c>
    </row>
    <row r="117" spans="2:16" ht="12.5">
      <c r="B117" s="160" t="str">
        <f t="shared" si="16"/>
        <v/>
      </c>
      <c r="C117" s="473">
        <f>IF(D93="","-",+C116+1)</f>
        <v>2036</v>
      </c>
      <c r="D117" s="347">
        <f>IF(F116+SUM(E$99:E116)=D$92,F116,D$92-SUM(E$99:E116))</f>
        <v>170814.5</v>
      </c>
      <c r="E117" s="485">
        <f t="shared" si="17"/>
        <v>6718</v>
      </c>
      <c r="F117" s="486">
        <f t="shared" si="18"/>
        <v>164096.5</v>
      </c>
      <c r="G117" s="486">
        <f t="shared" si="19"/>
        <v>167455.5</v>
      </c>
      <c r="H117" s="487">
        <f t="shared" si="22"/>
        <v>26025.158769063466</v>
      </c>
      <c r="I117" s="543">
        <f t="shared" si="23"/>
        <v>26025.158769063466</v>
      </c>
      <c r="J117" s="479">
        <f t="shared" si="13"/>
        <v>0</v>
      </c>
      <c r="K117" s="479"/>
      <c r="L117" s="488"/>
      <c r="M117" s="479">
        <f t="shared" si="21"/>
        <v>0</v>
      </c>
      <c r="N117" s="488"/>
      <c r="O117" s="479">
        <f t="shared" si="14"/>
        <v>0</v>
      </c>
      <c r="P117" s="479">
        <f t="shared" si="15"/>
        <v>0</v>
      </c>
    </row>
    <row r="118" spans="2:16" ht="12.5">
      <c r="B118" s="160" t="str">
        <f t="shared" si="16"/>
        <v/>
      </c>
      <c r="C118" s="473">
        <f>IF(D93="","-",+C117+1)</f>
        <v>2037</v>
      </c>
      <c r="D118" s="347">
        <f>IF(F117+SUM(E$99:E117)=D$92,F117,D$92-SUM(E$99:E117))</f>
        <v>164096.5</v>
      </c>
      <c r="E118" s="485">
        <f t="shared" si="17"/>
        <v>6718</v>
      </c>
      <c r="F118" s="486">
        <f t="shared" si="18"/>
        <v>157378.5</v>
      </c>
      <c r="G118" s="486">
        <f t="shared" si="19"/>
        <v>160737.5</v>
      </c>
      <c r="H118" s="487">
        <f t="shared" si="22"/>
        <v>25250.591838681554</v>
      </c>
      <c r="I118" s="543">
        <f t="shared" si="23"/>
        <v>25250.591838681554</v>
      </c>
      <c r="J118" s="479">
        <f t="shared" si="13"/>
        <v>0</v>
      </c>
      <c r="K118" s="479"/>
      <c r="L118" s="488"/>
      <c r="M118" s="479">
        <f t="shared" si="21"/>
        <v>0</v>
      </c>
      <c r="N118" s="488"/>
      <c r="O118" s="479">
        <f t="shared" si="14"/>
        <v>0</v>
      </c>
      <c r="P118" s="479">
        <f t="shared" si="15"/>
        <v>0</v>
      </c>
    </row>
    <row r="119" spans="2:16" ht="12.5">
      <c r="B119" s="160" t="str">
        <f t="shared" si="16"/>
        <v/>
      </c>
      <c r="C119" s="473">
        <f>IF(D93="","-",+C118+1)</f>
        <v>2038</v>
      </c>
      <c r="D119" s="347">
        <f>IF(F118+SUM(E$99:E118)=D$92,F118,D$92-SUM(E$99:E118))</f>
        <v>157378.5</v>
      </c>
      <c r="E119" s="485">
        <f t="shared" si="17"/>
        <v>6718</v>
      </c>
      <c r="F119" s="486">
        <f t="shared" si="18"/>
        <v>150660.5</v>
      </c>
      <c r="G119" s="486">
        <f t="shared" si="19"/>
        <v>154019.5</v>
      </c>
      <c r="H119" s="487">
        <f t="shared" si="22"/>
        <v>24476.024908299642</v>
      </c>
      <c r="I119" s="543">
        <f t="shared" si="23"/>
        <v>24476.024908299642</v>
      </c>
      <c r="J119" s="479">
        <f t="shared" si="13"/>
        <v>0</v>
      </c>
      <c r="K119" s="479"/>
      <c r="L119" s="488"/>
      <c r="M119" s="479">
        <f t="shared" si="21"/>
        <v>0</v>
      </c>
      <c r="N119" s="488"/>
      <c r="O119" s="479">
        <f t="shared" si="14"/>
        <v>0</v>
      </c>
      <c r="P119" s="479">
        <f t="shared" si="15"/>
        <v>0</v>
      </c>
    </row>
    <row r="120" spans="2:16" ht="12.5">
      <c r="B120" s="160" t="str">
        <f t="shared" si="16"/>
        <v/>
      </c>
      <c r="C120" s="473">
        <f>IF(D93="","-",+C119+1)</f>
        <v>2039</v>
      </c>
      <c r="D120" s="347">
        <f>IF(F119+SUM(E$99:E119)=D$92,F119,D$92-SUM(E$99:E119))</f>
        <v>150660.5</v>
      </c>
      <c r="E120" s="485">
        <f t="shared" si="17"/>
        <v>6718</v>
      </c>
      <c r="F120" s="486">
        <f t="shared" si="18"/>
        <v>143942.5</v>
      </c>
      <c r="G120" s="486">
        <f t="shared" si="19"/>
        <v>147301.5</v>
      </c>
      <c r="H120" s="487">
        <f t="shared" si="22"/>
        <v>23701.457977917729</v>
      </c>
      <c r="I120" s="543">
        <f t="shared" si="23"/>
        <v>23701.457977917729</v>
      </c>
      <c r="J120" s="479">
        <f t="shared" si="13"/>
        <v>0</v>
      </c>
      <c r="K120" s="479"/>
      <c r="L120" s="488"/>
      <c r="M120" s="479">
        <f t="shared" si="21"/>
        <v>0</v>
      </c>
      <c r="N120" s="488"/>
      <c r="O120" s="479">
        <f t="shared" si="14"/>
        <v>0</v>
      </c>
      <c r="P120" s="479">
        <f t="shared" si="15"/>
        <v>0</v>
      </c>
    </row>
    <row r="121" spans="2:16" ht="12.5">
      <c r="B121" s="160" t="str">
        <f t="shared" si="16"/>
        <v/>
      </c>
      <c r="C121" s="473">
        <f>IF(D93="","-",+C120+1)</f>
        <v>2040</v>
      </c>
      <c r="D121" s="347">
        <f>IF(F120+SUM(E$99:E120)=D$92,F120,D$92-SUM(E$99:E120))</f>
        <v>143942.5</v>
      </c>
      <c r="E121" s="485">
        <f t="shared" si="17"/>
        <v>6718</v>
      </c>
      <c r="F121" s="486">
        <f t="shared" si="18"/>
        <v>137224.5</v>
      </c>
      <c r="G121" s="486">
        <f t="shared" si="19"/>
        <v>140583.5</v>
      </c>
      <c r="H121" s="487">
        <f t="shared" si="22"/>
        <v>22926.891047535813</v>
      </c>
      <c r="I121" s="543">
        <f t="shared" si="23"/>
        <v>22926.891047535813</v>
      </c>
      <c r="J121" s="479">
        <f t="shared" si="13"/>
        <v>0</v>
      </c>
      <c r="K121" s="479"/>
      <c r="L121" s="488"/>
      <c r="M121" s="479">
        <f t="shared" si="21"/>
        <v>0</v>
      </c>
      <c r="N121" s="488"/>
      <c r="O121" s="479">
        <f t="shared" si="14"/>
        <v>0</v>
      </c>
      <c r="P121" s="479">
        <f t="shared" si="15"/>
        <v>0</v>
      </c>
    </row>
    <row r="122" spans="2:16" ht="12.5">
      <c r="B122" s="160" t="str">
        <f t="shared" si="16"/>
        <v/>
      </c>
      <c r="C122" s="473">
        <f>IF(D93="","-",+C121+1)</f>
        <v>2041</v>
      </c>
      <c r="D122" s="347">
        <f>IF(F121+SUM(E$99:E121)=D$92,F121,D$92-SUM(E$99:E121))</f>
        <v>137224.5</v>
      </c>
      <c r="E122" s="485">
        <f t="shared" si="17"/>
        <v>6718</v>
      </c>
      <c r="F122" s="486">
        <f t="shared" si="18"/>
        <v>130506.5</v>
      </c>
      <c r="G122" s="486">
        <f t="shared" si="19"/>
        <v>133865.5</v>
      </c>
      <c r="H122" s="487">
        <f t="shared" si="22"/>
        <v>22152.324117153905</v>
      </c>
      <c r="I122" s="543">
        <f t="shared" si="23"/>
        <v>22152.324117153905</v>
      </c>
      <c r="J122" s="479">
        <f t="shared" si="13"/>
        <v>0</v>
      </c>
      <c r="K122" s="479"/>
      <c r="L122" s="488"/>
      <c r="M122" s="479">
        <f t="shared" si="21"/>
        <v>0</v>
      </c>
      <c r="N122" s="488"/>
      <c r="O122" s="479">
        <f t="shared" si="14"/>
        <v>0</v>
      </c>
      <c r="P122" s="479">
        <f t="shared" si="15"/>
        <v>0</v>
      </c>
    </row>
    <row r="123" spans="2:16" ht="12.5">
      <c r="B123" s="160" t="str">
        <f t="shared" si="16"/>
        <v/>
      </c>
      <c r="C123" s="473">
        <f>IF(D93="","-",+C122+1)</f>
        <v>2042</v>
      </c>
      <c r="D123" s="347">
        <f>IF(F122+SUM(E$99:E122)=D$92,F122,D$92-SUM(E$99:E122))</f>
        <v>130506.5</v>
      </c>
      <c r="E123" s="485">
        <f t="shared" si="17"/>
        <v>6718</v>
      </c>
      <c r="F123" s="486">
        <f t="shared" si="18"/>
        <v>123788.5</v>
      </c>
      <c r="G123" s="486">
        <f t="shared" si="19"/>
        <v>127147.5</v>
      </c>
      <c r="H123" s="487">
        <f t="shared" si="22"/>
        <v>21377.757186771989</v>
      </c>
      <c r="I123" s="543">
        <f t="shared" si="23"/>
        <v>21377.757186771989</v>
      </c>
      <c r="J123" s="479">
        <f t="shared" si="13"/>
        <v>0</v>
      </c>
      <c r="K123" s="479"/>
      <c r="L123" s="488"/>
      <c r="M123" s="479">
        <f t="shared" si="21"/>
        <v>0</v>
      </c>
      <c r="N123" s="488"/>
      <c r="O123" s="479">
        <f t="shared" si="14"/>
        <v>0</v>
      </c>
      <c r="P123" s="479">
        <f t="shared" si="15"/>
        <v>0</v>
      </c>
    </row>
    <row r="124" spans="2:16" ht="12.5">
      <c r="B124" s="160" t="str">
        <f t="shared" si="16"/>
        <v/>
      </c>
      <c r="C124" s="473">
        <f>IF(D93="","-",+C123+1)</f>
        <v>2043</v>
      </c>
      <c r="D124" s="347">
        <f>IF(F123+SUM(E$99:E123)=D$92,F123,D$92-SUM(E$99:E123))</f>
        <v>123788.5</v>
      </c>
      <c r="E124" s="485">
        <f t="shared" si="17"/>
        <v>6718</v>
      </c>
      <c r="F124" s="486">
        <f t="shared" si="18"/>
        <v>117070.5</v>
      </c>
      <c r="G124" s="486">
        <f t="shared" si="19"/>
        <v>120429.5</v>
      </c>
      <c r="H124" s="487">
        <f t="shared" si="22"/>
        <v>20603.190256390077</v>
      </c>
      <c r="I124" s="543">
        <f t="shared" si="23"/>
        <v>20603.190256390077</v>
      </c>
      <c r="J124" s="479">
        <f t="shared" si="13"/>
        <v>0</v>
      </c>
      <c r="K124" s="479"/>
      <c r="L124" s="488"/>
      <c r="M124" s="479">
        <f t="shared" si="21"/>
        <v>0</v>
      </c>
      <c r="N124" s="488"/>
      <c r="O124" s="479">
        <f t="shared" si="14"/>
        <v>0</v>
      </c>
      <c r="P124" s="479">
        <f t="shared" si="15"/>
        <v>0</v>
      </c>
    </row>
    <row r="125" spans="2:16" ht="12.5">
      <c r="B125" s="160" t="str">
        <f t="shared" si="16"/>
        <v/>
      </c>
      <c r="C125" s="473">
        <f>IF(D93="","-",+C124+1)</f>
        <v>2044</v>
      </c>
      <c r="D125" s="347">
        <f>IF(F124+SUM(E$99:E124)=D$92,F124,D$92-SUM(E$99:E124))</f>
        <v>117070.5</v>
      </c>
      <c r="E125" s="485">
        <f t="shared" si="17"/>
        <v>6718</v>
      </c>
      <c r="F125" s="486">
        <f t="shared" si="18"/>
        <v>110352.5</v>
      </c>
      <c r="G125" s="486">
        <f t="shared" si="19"/>
        <v>113711.5</v>
      </c>
      <c r="H125" s="487">
        <f t="shared" si="22"/>
        <v>19828.623326008164</v>
      </c>
      <c r="I125" s="543">
        <f t="shared" si="23"/>
        <v>19828.623326008164</v>
      </c>
      <c r="J125" s="479">
        <f t="shared" si="13"/>
        <v>0</v>
      </c>
      <c r="K125" s="479"/>
      <c r="L125" s="488"/>
      <c r="M125" s="479">
        <f t="shared" si="21"/>
        <v>0</v>
      </c>
      <c r="N125" s="488"/>
      <c r="O125" s="479">
        <f t="shared" si="14"/>
        <v>0</v>
      </c>
      <c r="P125" s="479">
        <f t="shared" si="15"/>
        <v>0</v>
      </c>
    </row>
    <row r="126" spans="2:16" ht="12.5">
      <c r="B126" s="160" t="str">
        <f t="shared" si="16"/>
        <v/>
      </c>
      <c r="C126" s="473">
        <f>IF(D93="","-",+C125+1)</f>
        <v>2045</v>
      </c>
      <c r="D126" s="347">
        <f>IF(F125+SUM(E$99:E125)=D$92,F125,D$92-SUM(E$99:E125))</f>
        <v>110352.5</v>
      </c>
      <c r="E126" s="485">
        <f t="shared" si="17"/>
        <v>6718</v>
      </c>
      <c r="F126" s="486">
        <f t="shared" si="18"/>
        <v>103634.5</v>
      </c>
      <c r="G126" s="486">
        <f t="shared" si="19"/>
        <v>106993.5</v>
      </c>
      <c r="H126" s="487">
        <f t="shared" si="22"/>
        <v>19054.056395626252</v>
      </c>
      <c r="I126" s="543">
        <f t="shared" si="23"/>
        <v>19054.056395626252</v>
      </c>
      <c r="J126" s="479">
        <f t="shared" si="13"/>
        <v>0</v>
      </c>
      <c r="K126" s="479"/>
      <c r="L126" s="488"/>
      <c r="M126" s="479">
        <f t="shared" si="21"/>
        <v>0</v>
      </c>
      <c r="N126" s="488"/>
      <c r="O126" s="479">
        <f t="shared" si="14"/>
        <v>0</v>
      </c>
      <c r="P126" s="479">
        <f t="shared" si="15"/>
        <v>0</v>
      </c>
    </row>
    <row r="127" spans="2:16" ht="12.5">
      <c r="B127" s="160" t="str">
        <f t="shared" si="16"/>
        <v/>
      </c>
      <c r="C127" s="473">
        <f>IF(D93="","-",+C126+1)</f>
        <v>2046</v>
      </c>
      <c r="D127" s="347">
        <f>IF(F126+SUM(E$99:E126)=D$92,F126,D$92-SUM(E$99:E126))</f>
        <v>103634.5</v>
      </c>
      <c r="E127" s="485">
        <f t="shared" si="17"/>
        <v>6718</v>
      </c>
      <c r="F127" s="486">
        <f t="shared" si="18"/>
        <v>96916.5</v>
      </c>
      <c r="G127" s="486">
        <f t="shared" si="19"/>
        <v>100275.5</v>
      </c>
      <c r="H127" s="487">
        <f t="shared" si="22"/>
        <v>18279.48946524434</v>
      </c>
      <c r="I127" s="543">
        <f t="shared" si="23"/>
        <v>18279.48946524434</v>
      </c>
      <c r="J127" s="479">
        <f t="shared" si="13"/>
        <v>0</v>
      </c>
      <c r="K127" s="479"/>
      <c r="L127" s="488"/>
      <c r="M127" s="479">
        <f t="shared" si="21"/>
        <v>0</v>
      </c>
      <c r="N127" s="488"/>
      <c r="O127" s="479">
        <f t="shared" si="14"/>
        <v>0</v>
      </c>
      <c r="P127" s="479">
        <f t="shared" si="15"/>
        <v>0</v>
      </c>
    </row>
    <row r="128" spans="2:16" ht="12.5">
      <c r="B128" s="160" t="str">
        <f t="shared" si="16"/>
        <v/>
      </c>
      <c r="C128" s="473">
        <f>IF(D93="","-",+C127+1)</f>
        <v>2047</v>
      </c>
      <c r="D128" s="347">
        <f>IF(F127+SUM(E$99:E127)=D$92,F127,D$92-SUM(E$99:E127))</f>
        <v>96916.5</v>
      </c>
      <c r="E128" s="485">
        <f t="shared" si="17"/>
        <v>6718</v>
      </c>
      <c r="F128" s="486">
        <f t="shared" si="18"/>
        <v>90198.5</v>
      </c>
      <c r="G128" s="486">
        <f t="shared" si="19"/>
        <v>93557.5</v>
      </c>
      <c r="H128" s="487">
        <f t="shared" si="22"/>
        <v>17504.922534862428</v>
      </c>
      <c r="I128" s="543">
        <f t="shared" si="23"/>
        <v>17504.922534862428</v>
      </c>
      <c r="J128" s="479">
        <f t="shared" si="13"/>
        <v>0</v>
      </c>
      <c r="K128" s="479"/>
      <c r="L128" s="488"/>
      <c r="M128" s="479">
        <f t="shared" si="21"/>
        <v>0</v>
      </c>
      <c r="N128" s="488"/>
      <c r="O128" s="479">
        <f t="shared" si="14"/>
        <v>0</v>
      </c>
      <c r="P128" s="479">
        <f t="shared" si="15"/>
        <v>0</v>
      </c>
    </row>
    <row r="129" spans="2:16" ht="12.5">
      <c r="B129" s="160" t="str">
        <f t="shared" si="16"/>
        <v/>
      </c>
      <c r="C129" s="473">
        <f>IF(D93="","-",+C128+1)</f>
        <v>2048</v>
      </c>
      <c r="D129" s="347">
        <f>IF(F128+SUM(E$99:E128)=D$92,F128,D$92-SUM(E$99:E128))</f>
        <v>90198.5</v>
      </c>
      <c r="E129" s="485">
        <f t="shared" si="17"/>
        <v>6718</v>
      </c>
      <c r="F129" s="486">
        <f t="shared" si="18"/>
        <v>83480.5</v>
      </c>
      <c r="G129" s="486">
        <f t="shared" si="19"/>
        <v>86839.5</v>
      </c>
      <c r="H129" s="487">
        <f t="shared" si="22"/>
        <v>16730.355604480515</v>
      </c>
      <c r="I129" s="543">
        <f t="shared" si="23"/>
        <v>16730.355604480515</v>
      </c>
      <c r="J129" s="479">
        <f t="shared" si="13"/>
        <v>0</v>
      </c>
      <c r="K129" s="479"/>
      <c r="L129" s="488"/>
      <c r="M129" s="479">
        <f t="shared" si="21"/>
        <v>0</v>
      </c>
      <c r="N129" s="488"/>
      <c r="O129" s="479">
        <f t="shared" si="14"/>
        <v>0</v>
      </c>
      <c r="P129" s="479">
        <f t="shared" si="15"/>
        <v>0</v>
      </c>
    </row>
    <row r="130" spans="2:16" ht="12.5">
      <c r="B130" s="160" t="str">
        <f t="shared" si="16"/>
        <v/>
      </c>
      <c r="C130" s="473">
        <f>IF(D93="","-",+C129+1)</f>
        <v>2049</v>
      </c>
      <c r="D130" s="347">
        <f>IF(F129+SUM(E$99:E129)=D$92,F129,D$92-SUM(E$99:E129))</f>
        <v>83480.5</v>
      </c>
      <c r="E130" s="485">
        <f t="shared" si="17"/>
        <v>6718</v>
      </c>
      <c r="F130" s="486">
        <f t="shared" si="18"/>
        <v>76762.5</v>
      </c>
      <c r="G130" s="486">
        <f t="shared" si="19"/>
        <v>80121.5</v>
      </c>
      <c r="H130" s="487">
        <f t="shared" si="22"/>
        <v>15955.788674098601</v>
      </c>
      <c r="I130" s="543">
        <f t="shared" si="23"/>
        <v>15955.788674098601</v>
      </c>
      <c r="J130" s="479">
        <f t="shared" si="13"/>
        <v>0</v>
      </c>
      <c r="K130" s="479"/>
      <c r="L130" s="488"/>
      <c r="M130" s="479">
        <f t="shared" si="21"/>
        <v>0</v>
      </c>
      <c r="N130" s="488"/>
      <c r="O130" s="479">
        <f t="shared" si="14"/>
        <v>0</v>
      </c>
      <c r="P130" s="479">
        <f t="shared" si="15"/>
        <v>0</v>
      </c>
    </row>
    <row r="131" spans="2:16" ht="12.5">
      <c r="B131" s="160" t="str">
        <f t="shared" si="16"/>
        <v/>
      </c>
      <c r="C131" s="473">
        <f>IF(D93="","-",+C130+1)</f>
        <v>2050</v>
      </c>
      <c r="D131" s="347">
        <f>IF(F130+SUM(E$99:E130)=D$92,F130,D$92-SUM(E$99:E130))</f>
        <v>76762.5</v>
      </c>
      <c r="E131" s="485">
        <f t="shared" si="17"/>
        <v>6718</v>
      </c>
      <c r="F131" s="486">
        <f t="shared" si="18"/>
        <v>70044.5</v>
      </c>
      <c r="G131" s="486">
        <f t="shared" si="19"/>
        <v>73403.5</v>
      </c>
      <c r="H131" s="487">
        <f t="shared" si="22"/>
        <v>15181.221743716689</v>
      </c>
      <c r="I131" s="543">
        <f t="shared" si="23"/>
        <v>15181.221743716689</v>
      </c>
      <c r="J131" s="479">
        <f t="shared" ref="J131:J154" si="24">+I541-H541</f>
        <v>0</v>
      </c>
      <c r="K131" s="479"/>
      <c r="L131" s="488"/>
      <c r="M131" s="479">
        <f t="shared" ref="M131:M154" si="25">IF(L541&lt;&gt;0,+H541-L541,0)</f>
        <v>0</v>
      </c>
      <c r="N131" s="488"/>
      <c r="O131" s="479">
        <f t="shared" ref="O131:O154" si="26">IF(N541&lt;&gt;0,+I541-N541,0)</f>
        <v>0</v>
      </c>
      <c r="P131" s="479">
        <f t="shared" ref="P131:P154" si="27">+O541-M541</f>
        <v>0</v>
      </c>
    </row>
    <row r="132" spans="2:16" ht="12.5">
      <c r="B132" s="160" t="str">
        <f t="shared" si="16"/>
        <v/>
      </c>
      <c r="C132" s="473">
        <f>IF(D93="","-",+C131+1)</f>
        <v>2051</v>
      </c>
      <c r="D132" s="347">
        <f>IF(F131+SUM(E$99:E131)=D$92,F131,D$92-SUM(E$99:E131))</f>
        <v>70044.5</v>
      </c>
      <c r="E132" s="485">
        <f t="shared" si="17"/>
        <v>6718</v>
      </c>
      <c r="F132" s="486">
        <f t="shared" si="18"/>
        <v>63326.5</v>
      </c>
      <c r="G132" s="486">
        <f t="shared" si="19"/>
        <v>66685.5</v>
      </c>
      <c r="H132" s="487">
        <f t="shared" si="22"/>
        <v>14406.654813334777</v>
      </c>
      <c r="I132" s="543">
        <f t="shared" si="23"/>
        <v>14406.654813334777</v>
      </c>
      <c r="J132" s="479">
        <f t="shared" si="24"/>
        <v>0</v>
      </c>
      <c r="K132" s="479"/>
      <c r="L132" s="488"/>
      <c r="M132" s="479">
        <f t="shared" si="25"/>
        <v>0</v>
      </c>
      <c r="N132" s="488"/>
      <c r="O132" s="479">
        <f t="shared" si="26"/>
        <v>0</v>
      </c>
      <c r="P132" s="479">
        <f t="shared" si="27"/>
        <v>0</v>
      </c>
    </row>
    <row r="133" spans="2:16" ht="12.5">
      <c r="B133" s="160" t="str">
        <f t="shared" si="16"/>
        <v/>
      </c>
      <c r="C133" s="473">
        <f>IF(D93="","-",+C132+1)</f>
        <v>2052</v>
      </c>
      <c r="D133" s="347">
        <f>IF(F132+SUM(E$99:E132)=D$92,F132,D$92-SUM(E$99:E132))</f>
        <v>63326.5</v>
      </c>
      <c r="E133" s="485">
        <f t="shared" si="17"/>
        <v>6718</v>
      </c>
      <c r="F133" s="486">
        <f t="shared" si="18"/>
        <v>56608.5</v>
      </c>
      <c r="G133" s="486">
        <f t="shared" si="19"/>
        <v>59967.5</v>
      </c>
      <c r="H133" s="487">
        <f t="shared" si="22"/>
        <v>13632.087882952865</v>
      </c>
      <c r="I133" s="543">
        <f t="shared" si="23"/>
        <v>13632.087882952865</v>
      </c>
      <c r="J133" s="479">
        <f t="shared" si="24"/>
        <v>0</v>
      </c>
      <c r="K133" s="479"/>
      <c r="L133" s="488"/>
      <c r="M133" s="479">
        <f t="shared" si="25"/>
        <v>0</v>
      </c>
      <c r="N133" s="488"/>
      <c r="O133" s="479">
        <f t="shared" si="26"/>
        <v>0</v>
      </c>
      <c r="P133" s="479">
        <f t="shared" si="27"/>
        <v>0</v>
      </c>
    </row>
    <row r="134" spans="2:16" ht="12.5">
      <c r="B134" s="160" t="str">
        <f t="shared" si="16"/>
        <v/>
      </c>
      <c r="C134" s="473">
        <f>IF(D93="","-",+C133+1)</f>
        <v>2053</v>
      </c>
      <c r="D134" s="347">
        <f>IF(F133+SUM(E$99:E133)=D$92,F133,D$92-SUM(E$99:E133))</f>
        <v>56608.5</v>
      </c>
      <c r="E134" s="485">
        <f t="shared" si="17"/>
        <v>6718</v>
      </c>
      <c r="F134" s="486">
        <f t="shared" si="18"/>
        <v>49890.5</v>
      </c>
      <c r="G134" s="486">
        <f t="shared" si="19"/>
        <v>53249.5</v>
      </c>
      <c r="H134" s="487">
        <f t="shared" si="22"/>
        <v>12857.520952570951</v>
      </c>
      <c r="I134" s="543">
        <f t="shared" si="23"/>
        <v>12857.520952570951</v>
      </c>
      <c r="J134" s="479">
        <f t="shared" si="24"/>
        <v>0</v>
      </c>
      <c r="K134" s="479"/>
      <c r="L134" s="488"/>
      <c r="M134" s="479">
        <f t="shared" si="25"/>
        <v>0</v>
      </c>
      <c r="N134" s="488"/>
      <c r="O134" s="479">
        <f t="shared" si="26"/>
        <v>0</v>
      </c>
      <c r="P134" s="479">
        <f t="shared" si="27"/>
        <v>0</v>
      </c>
    </row>
    <row r="135" spans="2:16" ht="12.5">
      <c r="B135" s="160" t="str">
        <f t="shared" si="16"/>
        <v/>
      </c>
      <c r="C135" s="473">
        <f>IF(D93="","-",+C134+1)</f>
        <v>2054</v>
      </c>
      <c r="D135" s="347">
        <f>IF(F134+SUM(E$99:E134)=D$92,F134,D$92-SUM(E$99:E134))</f>
        <v>49890.5</v>
      </c>
      <c r="E135" s="485">
        <f t="shared" si="17"/>
        <v>6718</v>
      </c>
      <c r="F135" s="486">
        <f t="shared" si="18"/>
        <v>43172.5</v>
      </c>
      <c r="G135" s="486">
        <f t="shared" si="19"/>
        <v>46531.5</v>
      </c>
      <c r="H135" s="487">
        <f t="shared" si="22"/>
        <v>12082.954022189038</v>
      </c>
      <c r="I135" s="543">
        <f t="shared" si="23"/>
        <v>12082.954022189038</v>
      </c>
      <c r="J135" s="479">
        <f t="shared" si="24"/>
        <v>0</v>
      </c>
      <c r="K135" s="479"/>
      <c r="L135" s="488"/>
      <c r="M135" s="479">
        <f t="shared" si="25"/>
        <v>0</v>
      </c>
      <c r="N135" s="488"/>
      <c r="O135" s="479">
        <f t="shared" si="26"/>
        <v>0</v>
      </c>
      <c r="P135" s="479">
        <f t="shared" si="27"/>
        <v>0</v>
      </c>
    </row>
    <row r="136" spans="2:16" ht="12.5">
      <c r="B136" s="160" t="str">
        <f t="shared" si="16"/>
        <v/>
      </c>
      <c r="C136" s="473">
        <f>IF(D93="","-",+C135+1)</f>
        <v>2055</v>
      </c>
      <c r="D136" s="347">
        <f>IF(F135+SUM(E$99:E135)=D$92,F135,D$92-SUM(E$99:E135))</f>
        <v>43172.5</v>
      </c>
      <c r="E136" s="485">
        <f t="shared" si="17"/>
        <v>6718</v>
      </c>
      <c r="F136" s="486">
        <f t="shared" si="18"/>
        <v>36454.5</v>
      </c>
      <c r="G136" s="486">
        <f t="shared" si="19"/>
        <v>39813.5</v>
      </c>
      <c r="H136" s="487">
        <f t="shared" si="22"/>
        <v>11308.387091807126</v>
      </c>
      <c r="I136" s="543">
        <f t="shared" si="23"/>
        <v>11308.387091807126</v>
      </c>
      <c r="J136" s="479">
        <f t="shared" si="24"/>
        <v>0</v>
      </c>
      <c r="K136" s="479"/>
      <c r="L136" s="488"/>
      <c r="M136" s="479">
        <f t="shared" si="25"/>
        <v>0</v>
      </c>
      <c r="N136" s="488"/>
      <c r="O136" s="479">
        <f t="shared" si="26"/>
        <v>0</v>
      </c>
      <c r="P136" s="479">
        <f t="shared" si="27"/>
        <v>0</v>
      </c>
    </row>
    <row r="137" spans="2:16" ht="12.5">
      <c r="B137" s="160" t="str">
        <f t="shared" si="16"/>
        <v/>
      </c>
      <c r="C137" s="473">
        <f>IF(D93="","-",+C136+1)</f>
        <v>2056</v>
      </c>
      <c r="D137" s="347">
        <f>IF(F136+SUM(E$99:E136)=D$92,F136,D$92-SUM(E$99:E136))</f>
        <v>36454.5</v>
      </c>
      <c r="E137" s="485">
        <f t="shared" si="17"/>
        <v>6718</v>
      </c>
      <c r="F137" s="486">
        <f t="shared" si="18"/>
        <v>29736.5</v>
      </c>
      <c r="G137" s="486">
        <f t="shared" si="19"/>
        <v>33095.5</v>
      </c>
      <c r="H137" s="487">
        <f t="shared" si="22"/>
        <v>10533.820161425214</v>
      </c>
      <c r="I137" s="543">
        <f t="shared" si="23"/>
        <v>10533.820161425214</v>
      </c>
      <c r="J137" s="479">
        <f t="shared" si="24"/>
        <v>0</v>
      </c>
      <c r="K137" s="479"/>
      <c r="L137" s="488"/>
      <c r="M137" s="479">
        <f t="shared" si="25"/>
        <v>0</v>
      </c>
      <c r="N137" s="488"/>
      <c r="O137" s="479">
        <f t="shared" si="26"/>
        <v>0</v>
      </c>
      <c r="P137" s="479">
        <f t="shared" si="27"/>
        <v>0</v>
      </c>
    </row>
    <row r="138" spans="2:16" ht="12.5">
      <c r="B138" s="160" t="str">
        <f t="shared" si="16"/>
        <v/>
      </c>
      <c r="C138" s="473">
        <f>IF(D93="","-",+C137+1)</f>
        <v>2057</v>
      </c>
      <c r="D138" s="347">
        <f>IF(F137+SUM(E$99:E137)=D$92,F137,D$92-SUM(E$99:E137))</f>
        <v>29736.5</v>
      </c>
      <c r="E138" s="485">
        <f t="shared" si="17"/>
        <v>6718</v>
      </c>
      <c r="F138" s="486">
        <f t="shared" si="18"/>
        <v>23018.5</v>
      </c>
      <c r="G138" s="486">
        <f t="shared" si="19"/>
        <v>26377.5</v>
      </c>
      <c r="H138" s="487">
        <f t="shared" si="22"/>
        <v>9759.2532310433016</v>
      </c>
      <c r="I138" s="543">
        <f t="shared" si="23"/>
        <v>9759.2532310433016</v>
      </c>
      <c r="J138" s="479">
        <f t="shared" si="24"/>
        <v>0</v>
      </c>
      <c r="K138" s="479"/>
      <c r="L138" s="488"/>
      <c r="M138" s="479">
        <f t="shared" si="25"/>
        <v>0</v>
      </c>
      <c r="N138" s="488"/>
      <c r="O138" s="479">
        <f t="shared" si="26"/>
        <v>0</v>
      </c>
      <c r="P138" s="479">
        <f t="shared" si="27"/>
        <v>0</v>
      </c>
    </row>
    <row r="139" spans="2:16" ht="12.5">
      <c r="B139" s="160" t="str">
        <f t="shared" si="16"/>
        <v/>
      </c>
      <c r="C139" s="473">
        <f>IF(D93="","-",+C138+1)</f>
        <v>2058</v>
      </c>
      <c r="D139" s="347">
        <f>IF(F138+SUM(E$99:E138)=D$92,F138,D$92-SUM(E$99:E138))</f>
        <v>23018.5</v>
      </c>
      <c r="E139" s="485">
        <f t="shared" si="17"/>
        <v>6718</v>
      </c>
      <c r="F139" s="486">
        <f t="shared" si="18"/>
        <v>16300.5</v>
      </c>
      <c r="G139" s="486">
        <f t="shared" si="19"/>
        <v>19659.5</v>
      </c>
      <c r="H139" s="487">
        <f t="shared" si="22"/>
        <v>8984.6863006613894</v>
      </c>
      <c r="I139" s="543">
        <f t="shared" si="23"/>
        <v>8984.6863006613894</v>
      </c>
      <c r="J139" s="479">
        <f t="shared" si="24"/>
        <v>0</v>
      </c>
      <c r="K139" s="479"/>
      <c r="L139" s="488"/>
      <c r="M139" s="479">
        <f t="shared" si="25"/>
        <v>0</v>
      </c>
      <c r="N139" s="488"/>
      <c r="O139" s="479">
        <f t="shared" si="26"/>
        <v>0</v>
      </c>
      <c r="P139" s="479">
        <f t="shared" si="27"/>
        <v>0</v>
      </c>
    </row>
    <row r="140" spans="2:16" ht="12.5">
      <c r="B140" s="160" t="str">
        <f t="shared" si="16"/>
        <v/>
      </c>
      <c r="C140" s="473">
        <f>IF(D93="","-",+C139+1)</f>
        <v>2059</v>
      </c>
      <c r="D140" s="347">
        <f>IF(F139+SUM(E$99:E139)=D$92,F139,D$92-SUM(E$99:E139))</f>
        <v>16300.5</v>
      </c>
      <c r="E140" s="485">
        <f t="shared" si="17"/>
        <v>6718</v>
      </c>
      <c r="F140" s="486">
        <f t="shared" si="18"/>
        <v>9582.5</v>
      </c>
      <c r="G140" s="486">
        <f t="shared" si="19"/>
        <v>12941.5</v>
      </c>
      <c r="H140" s="487">
        <f t="shared" si="22"/>
        <v>8210.1193702794772</v>
      </c>
      <c r="I140" s="543">
        <f t="shared" si="23"/>
        <v>8210.1193702794772</v>
      </c>
      <c r="J140" s="479">
        <f t="shared" si="24"/>
        <v>0</v>
      </c>
      <c r="K140" s="479"/>
      <c r="L140" s="488"/>
      <c r="M140" s="479">
        <f t="shared" si="25"/>
        <v>0</v>
      </c>
      <c r="N140" s="488"/>
      <c r="O140" s="479">
        <f t="shared" si="26"/>
        <v>0</v>
      </c>
      <c r="P140" s="479">
        <f t="shared" si="27"/>
        <v>0</v>
      </c>
    </row>
    <row r="141" spans="2:16" ht="12.5">
      <c r="B141" s="160" t="str">
        <f t="shared" si="16"/>
        <v/>
      </c>
      <c r="C141" s="473">
        <f>IF(D93="","-",+C140+1)</f>
        <v>2060</v>
      </c>
      <c r="D141" s="347">
        <f>IF(F140+SUM(E$99:E140)=D$92,F140,D$92-SUM(E$99:E140))</f>
        <v>9582.5</v>
      </c>
      <c r="E141" s="485">
        <f t="shared" si="17"/>
        <v>6718</v>
      </c>
      <c r="F141" s="486">
        <f t="shared" si="18"/>
        <v>2864.5</v>
      </c>
      <c r="G141" s="486">
        <f t="shared" si="19"/>
        <v>6223.5</v>
      </c>
      <c r="H141" s="487">
        <f t="shared" si="22"/>
        <v>7435.552439897564</v>
      </c>
      <c r="I141" s="543">
        <f t="shared" si="23"/>
        <v>7435.552439897564</v>
      </c>
      <c r="J141" s="479">
        <f t="shared" si="24"/>
        <v>0</v>
      </c>
      <c r="K141" s="479"/>
      <c r="L141" s="488"/>
      <c r="M141" s="479">
        <f t="shared" si="25"/>
        <v>0</v>
      </c>
      <c r="N141" s="488"/>
      <c r="O141" s="479">
        <f t="shared" si="26"/>
        <v>0</v>
      </c>
      <c r="P141" s="479">
        <f t="shared" si="27"/>
        <v>0</v>
      </c>
    </row>
    <row r="142" spans="2:16" ht="12.5">
      <c r="B142" s="160" t="str">
        <f t="shared" si="16"/>
        <v/>
      </c>
      <c r="C142" s="473">
        <f>IF(D93="","-",+C141+1)</f>
        <v>2061</v>
      </c>
      <c r="D142" s="347">
        <f>IF(F141+SUM(E$99:E141)=D$92,F141,D$92-SUM(E$99:E141))</f>
        <v>2864.5</v>
      </c>
      <c r="E142" s="485">
        <f t="shared" si="17"/>
        <v>2864.5</v>
      </c>
      <c r="F142" s="486">
        <f t="shared" si="18"/>
        <v>0</v>
      </c>
      <c r="G142" s="486">
        <f t="shared" si="19"/>
        <v>1432.25</v>
      </c>
      <c r="H142" s="487">
        <f t="shared" si="22"/>
        <v>3029.6344873533035</v>
      </c>
      <c r="I142" s="543">
        <f t="shared" si="23"/>
        <v>3029.6344873533035</v>
      </c>
      <c r="J142" s="479">
        <f t="shared" si="24"/>
        <v>0</v>
      </c>
      <c r="K142" s="479"/>
      <c r="L142" s="488"/>
      <c r="M142" s="479">
        <f t="shared" si="25"/>
        <v>0</v>
      </c>
      <c r="N142" s="488"/>
      <c r="O142" s="479">
        <f t="shared" si="26"/>
        <v>0</v>
      </c>
      <c r="P142" s="479">
        <f t="shared" si="27"/>
        <v>0</v>
      </c>
    </row>
    <row r="143" spans="2:16" ht="12.5">
      <c r="B143" s="160" t="str">
        <f t="shared" si="16"/>
        <v/>
      </c>
      <c r="C143" s="473">
        <f>IF(D93="","-",+C142+1)</f>
        <v>2062</v>
      </c>
      <c r="D143" s="347">
        <f>IF(F142+SUM(E$99:E142)=D$92,F142,D$92-SUM(E$99:E142))</f>
        <v>0</v>
      </c>
      <c r="E143" s="485">
        <f t="shared" si="17"/>
        <v>0</v>
      </c>
      <c r="F143" s="486">
        <f t="shared" si="18"/>
        <v>0</v>
      </c>
      <c r="G143" s="486">
        <f t="shared" si="19"/>
        <v>0</v>
      </c>
      <c r="H143" s="487">
        <f t="shared" si="22"/>
        <v>0</v>
      </c>
      <c r="I143" s="543">
        <f t="shared" si="23"/>
        <v>0</v>
      </c>
      <c r="J143" s="479">
        <f t="shared" si="24"/>
        <v>0</v>
      </c>
      <c r="K143" s="479"/>
      <c r="L143" s="488"/>
      <c r="M143" s="479">
        <f t="shared" si="25"/>
        <v>0</v>
      </c>
      <c r="N143" s="488"/>
      <c r="O143" s="479">
        <f t="shared" si="26"/>
        <v>0</v>
      </c>
      <c r="P143" s="479">
        <f t="shared" si="27"/>
        <v>0</v>
      </c>
    </row>
    <row r="144" spans="2:16" ht="12.5">
      <c r="B144" s="160" t="str">
        <f t="shared" si="16"/>
        <v/>
      </c>
      <c r="C144" s="473">
        <f>IF(D93="","-",+C143+1)</f>
        <v>2063</v>
      </c>
      <c r="D144" s="347">
        <f>IF(F143+SUM(E$99:E143)=D$92,F143,D$92-SUM(E$99:E143))</f>
        <v>0</v>
      </c>
      <c r="E144" s="485">
        <f t="shared" si="17"/>
        <v>0</v>
      </c>
      <c r="F144" s="486">
        <f t="shared" si="18"/>
        <v>0</v>
      </c>
      <c r="G144" s="486">
        <f t="shared" si="19"/>
        <v>0</v>
      </c>
      <c r="H144" s="487">
        <f t="shared" si="22"/>
        <v>0</v>
      </c>
      <c r="I144" s="543">
        <f t="shared" si="23"/>
        <v>0</v>
      </c>
      <c r="J144" s="479">
        <f t="shared" si="24"/>
        <v>0</v>
      </c>
      <c r="K144" s="479"/>
      <c r="L144" s="488"/>
      <c r="M144" s="479">
        <f t="shared" si="25"/>
        <v>0</v>
      </c>
      <c r="N144" s="488"/>
      <c r="O144" s="479">
        <f t="shared" si="26"/>
        <v>0</v>
      </c>
      <c r="P144" s="479">
        <f t="shared" si="27"/>
        <v>0</v>
      </c>
    </row>
    <row r="145" spans="2:16" ht="12.5">
      <c r="B145" s="160" t="str">
        <f t="shared" si="16"/>
        <v/>
      </c>
      <c r="C145" s="473">
        <f>IF(D93="","-",+C144+1)</f>
        <v>2064</v>
      </c>
      <c r="D145" s="347">
        <f>IF(F144+SUM(E$99:E144)=D$92,F144,D$92-SUM(E$99:E144))</f>
        <v>0</v>
      </c>
      <c r="E145" s="485">
        <f t="shared" si="17"/>
        <v>0</v>
      </c>
      <c r="F145" s="486">
        <f t="shared" si="18"/>
        <v>0</v>
      </c>
      <c r="G145" s="486">
        <f t="shared" si="19"/>
        <v>0</v>
      </c>
      <c r="H145" s="487">
        <f t="shared" si="22"/>
        <v>0</v>
      </c>
      <c r="I145" s="543">
        <f t="shared" si="23"/>
        <v>0</v>
      </c>
      <c r="J145" s="479">
        <f t="shared" si="24"/>
        <v>0</v>
      </c>
      <c r="K145" s="479"/>
      <c r="L145" s="488"/>
      <c r="M145" s="479">
        <f t="shared" si="25"/>
        <v>0</v>
      </c>
      <c r="N145" s="488"/>
      <c r="O145" s="479">
        <f t="shared" si="26"/>
        <v>0</v>
      </c>
      <c r="P145" s="479">
        <f t="shared" si="27"/>
        <v>0</v>
      </c>
    </row>
    <row r="146" spans="2:16" ht="12.5">
      <c r="B146" s="160" t="str">
        <f t="shared" si="16"/>
        <v/>
      </c>
      <c r="C146" s="473">
        <f>IF(D93="","-",+C145+1)</f>
        <v>2065</v>
      </c>
      <c r="D146" s="347">
        <f>IF(F145+SUM(E$99:E145)=D$92,F145,D$92-SUM(E$99:E145))</f>
        <v>0</v>
      </c>
      <c r="E146" s="485">
        <f t="shared" si="17"/>
        <v>0</v>
      </c>
      <c r="F146" s="486">
        <f t="shared" si="18"/>
        <v>0</v>
      </c>
      <c r="G146" s="486">
        <f t="shared" si="19"/>
        <v>0</v>
      </c>
      <c r="H146" s="487">
        <f t="shared" si="22"/>
        <v>0</v>
      </c>
      <c r="I146" s="543">
        <f t="shared" si="23"/>
        <v>0</v>
      </c>
      <c r="J146" s="479">
        <f t="shared" si="24"/>
        <v>0</v>
      </c>
      <c r="K146" s="479"/>
      <c r="L146" s="488"/>
      <c r="M146" s="479">
        <f t="shared" si="25"/>
        <v>0</v>
      </c>
      <c r="N146" s="488"/>
      <c r="O146" s="479">
        <f t="shared" si="26"/>
        <v>0</v>
      </c>
      <c r="P146" s="479">
        <f t="shared" si="27"/>
        <v>0</v>
      </c>
    </row>
    <row r="147" spans="2:16" ht="12.5">
      <c r="B147" s="160" t="str">
        <f t="shared" si="16"/>
        <v/>
      </c>
      <c r="C147" s="473">
        <f>IF(D93="","-",+C146+1)</f>
        <v>2066</v>
      </c>
      <c r="D147" s="347">
        <f>IF(F146+SUM(E$99:E146)=D$92,F146,D$92-SUM(E$99:E146))</f>
        <v>0</v>
      </c>
      <c r="E147" s="485">
        <f t="shared" si="17"/>
        <v>0</v>
      </c>
      <c r="F147" s="486">
        <f t="shared" si="18"/>
        <v>0</v>
      </c>
      <c r="G147" s="486">
        <f t="shared" si="19"/>
        <v>0</v>
      </c>
      <c r="H147" s="487">
        <f t="shared" si="22"/>
        <v>0</v>
      </c>
      <c r="I147" s="543">
        <f t="shared" si="23"/>
        <v>0</v>
      </c>
      <c r="J147" s="479">
        <f t="shared" si="24"/>
        <v>0</v>
      </c>
      <c r="K147" s="479"/>
      <c r="L147" s="488"/>
      <c r="M147" s="479">
        <f t="shared" si="25"/>
        <v>0</v>
      </c>
      <c r="N147" s="488"/>
      <c r="O147" s="479">
        <f t="shared" si="26"/>
        <v>0</v>
      </c>
      <c r="P147" s="479">
        <f t="shared" si="27"/>
        <v>0</v>
      </c>
    </row>
    <row r="148" spans="2:16" ht="12.5">
      <c r="B148" s="160" t="str">
        <f t="shared" si="16"/>
        <v/>
      </c>
      <c r="C148" s="473">
        <f>IF(D93="","-",+C147+1)</f>
        <v>2067</v>
      </c>
      <c r="D148" s="347">
        <f>IF(F147+SUM(E$99:E147)=D$92,F147,D$92-SUM(E$99:E147))</f>
        <v>0</v>
      </c>
      <c r="E148" s="485">
        <f t="shared" si="17"/>
        <v>0</v>
      </c>
      <c r="F148" s="486">
        <f t="shared" si="18"/>
        <v>0</v>
      </c>
      <c r="G148" s="486">
        <f t="shared" si="19"/>
        <v>0</v>
      </c>
      <c r="H148" s="487">
        <f t="shared" si="22"/>
        <v>0</v>
      </c>
      <c r="I148" s="543">
        <f t="shared" si="23"/>
        <v>0</v>
      </c>
      <c r="J148" s="479">
        <f t="shared" si="24"/>
        <v>0</v>
      </c>
      <c r="K148" s="479"/>
      <c r="L148" s="488"/>
      <c r="M148" s="479">
        <f t="shared" si="25"/>
        <v>0</v>
      </c>
      <c r="N148" s="488"/>
      <c r="O148" s="479">
        <f t="shared" si="26"/>
        <v>0</v>
      </c>
      <c r="P148" s="479">
        <f t="shared" si="27"/>
        <v>0</v>
      </c>
    </row>
    <row r="149" spans="2:16" ht="12.5">
      <c r="B149" s="160" t="str">
        <f t="shared" si="16"/>
        <v/>
      </c>
      <c r="C149" s="473">
        <f>IF(D93="","-",+C148+1)</f>
        <v>2068</v>
      </c>
      <c r="D149" s="347">
        <f>IF(F148+SUM(E$99:E148)=D$92,F148,D$92-SUM(E$99:E148))</f>
        <v>0</v>
      </c>
      <c r="E149" s="485">
        <f t="shared" si="17"/>
        <v>0</v>
      </c>
      <c r="F149" s="486">
        <f t="shared" si="18"/>
        <v>0</v>
      </c>
      <c r="G149" s="486">
        <f t="shared" si="19"/>
        <v>0</v>
      </c>
      <c r="H149" s="487">
        <f t="shared" si="22"/>
        <v>0</v>
      </c>
      <c r="I149" s="543">
        <f t="shared" si="23"/>
        <v>0</v>
      </c>
      <c r="J149" s="479">
        <f t="shared" si="24"/>
        <v>0</v>
      </c>
      <c r="K149" s="479"/>
      <c r="L149" s="488"/>
      <c r="M149" s="479">
        <f t="shared" si="25"/>
        <v>0</v>
      </c>
      <c r="N149" s="488"/>
      <c r="O149" s="479">
        <f t="shared" si="26"/>
        <v>0</v>
      </c>
      <c r="P149" s="479">
        <f t="shared" si="27"/>
        <v>0</v>
      </c>
    </row>
    <row r="150" spans="2:16" ht="12.5">
      <c r="B150" s="160" t="str">
        <f t="shared" si="16"/>
        <v/>
      </c>
      <c r="C150" s="473">
        <f>IF(D93="","-",+C149+1)</f>
        <v>2069</v>
      </c>
      <c r="D150" s="347">
        <f>IF(F149+SUM(E$99:E149)=D$92,F149,D$92-SUM(E$99:E149))</f>
        <v>0</v>
      </c>
      <c r="E150" s="485">
        <f t="shared" si="17"/>
        <v>0</v>
      </c>
      <c r="F150" s="486">
        <f t="shared" si="18"/>
        <v>0</v>
      </c>
      <c r="G150" s="486">
        <f t="shared" si="19"/>
        <v>0</v>
      </c>
      <c r="H150" s="487">
        <f t="shared" si="22"/>
        <v>0</v>
      </c>
      <c r="I150" s="543">
        <f t="shared" si="23"/>
        <v>0</v>
      </c>
      <c r="J150" s="479">
        <f t="shared" si="24"/>
        <v>0</v>
      </c>
      <c r="K150" s="479"/>
      <c r="L150" s="488"/>
      <c r="M150" s="479">
        <f t="shared" si="25"/>
        <v>0</v>
      </c>
      <c r="N150" s="488"/>
      <c r="O150" s="479">
        <f t="shared" si="26"/>
        <v>0</v>
      </c>
      <c r="P150" s="479">
        <f t="shared" si="27"/>
        <v>0</v>
      </c>
    </row>
    <row r="151" spans="2:16" ht="12.5">
      <c r="B151" s="160" t="str">
        <f t="shared" si="16"/>
        <v/>
      </c>
      <c r="C151" s="473">
        <f>IF(D93="","-",+C150+1)</f>
        <v>2070</v>
      </c>
      <c r="D151" s="347">
        <f>IF(F150+SUM(E$99:E150)=D$92,F150,D$92-SUM(E$99:E150))</f>
        <v>0</v>
      </c>
      <c r="E151" s="485">
        <f t="shared" si="17"/>
        <v>0</v>
      </c>
      <c r="F151" s="486">
        <f t="shared" si="18"/>
        <v>0</v>
      </c>
      <c r="G151" s="486">
        <f t="shared" si="19"/>
        <v>0</v>
      </c>
      <c r="H151" s="487">
        <f t="shared" si="22"/>
        <v>0</v>
      </c>
      <c r="I151" s="543">
        <f t="shared" si="23"/>
        <v>0</v>
      </c>
      <c r="J151" s="479">
        <f t="shared" si="24"/>
        <v>0</v>
      </c>
      <c r="K151" s="479"/>
      <c r="L151" s="488"/>
      <c r="M151" s="479">
        <f t="shared" si="25"/>
        <v>0</v>
      </c>
      <c r="N151" s="488"/>
      <c r="O151" s="479">
        <f t="shared" si="26"/>
        <v>0</v>
      </c>
      <c r="P151" s="479">
        <f t="shared" si="27"/>
        <v>0</v>
      </c>
    </row>
    <row r="152" spans="2:16" ht="12.5">
      <c r="B152" s="160" t="str">
        <f t="shared" si="16"/>
        <v/>
      </c>
      <c r="C152" s="473">
        <f>IF(D93="","-",+C151+1)</f>
        <v>2071</v>
      </c>
      <c r="D152" s="347">
        <f>IF(F151+SUM(E$99:E151)=D$92,F151,D$92-SUM(E$99:E151))</f>
        <v>0</v>
      </c>
      <c r="E152" s="485">
        <f t="shared" si="17"/>
        <v>0</v>
      </c>
      <c r="F152" s="486">
        <f t="shared" si="18"/>
        <v>0</v>
      </c>
      <c r="G152" s="486">
        <f t="shared" si="19"/>
        <v>0</v>
      </c>
      <c r="H152" s="487">
        <f t="shared" si="22"/>
        <v>0</v>
      </c>
      <c r="I152" s="543">
        <f t="shared" si="23"/>
        <v>0</v>
      </c>
      <c r="J152" s="479">
        <f t="shared" si="24"/>
        <v>0</v>
      </c>
      <c r="K152" s="479"/>
      <c r="L152" s="488"/>
      <c r="M152" s="479">
        <f t="shared" si="25"/>
        <v>0</v>
      </c>
      <c r="N152" s="488"/>
      <c r="O152" s="479">
        <f t="shared" si="26"/>
        <v>0</v>
      </c>
      <c r="P152" s="479">
        <f t="shared" si="27"/>
        <v>0</v>
      </c>
    </row>
    <row r="153" spans="2:16" ht="12.5">
      <c r="B153" s="160" t="str">
        <f t="shared" si="16"/>
        <v/>
      </c>
      <c r="C153" s="473">
        <f>IF(D93="","-",+C152+1)</f>
        <v>2072</v>
      </c>
      <c r="D153" s="347">
        <f>IF(F152+SUM(E$99:E152)=D$92,F152,D$92-SUM(E$99:E152))</f>
        <v>0</v>
      </c>
      <c r="E153" s="485">
        <f t="shared" si="17"/>
        <v>0</v>
      </c>
      <c r="F153" s="486">
        <f t="shared" si="18"/>
        <v>0</v>
      </c>
      <c r="G153" s="486">
        <f t="shared" si="19"/>
        <v>0</v>
      </c>
      <c r="H153" s="487">
        <f t="shared" si="22"/>
        <v>0</v>
      </c>
      <c r="I153" s="543">
        <f t="shared" si="23"/>
        <v>0</v>
      </c>
      <c r="J153" s="479">
        <f t="shared" si="24"/>
        <v>0</v>
      </c>
      <c r="K153" s="479"/>
      <c r="L153" s="488"/>
      <c r="M153" s="479">
        <f t="shared" si="25"/>
        <v>0</v>
      </c>
      <c r="N153" s="488"/>
      <c r="O153" s="479">
        <f t="shared" si="26"/>
        <v>0</v>
      </c>
      <c r="P153" s="479">
        <f t="shared" si="27"/>
        <v>0</v>
      </c>
    </row>
    <row r="154" spans="2:16" ht="13" thickBot="1">
      <c r="B154" s="160" t="str">
        <f t="shared" si="16"/>
        <v/>
      </c>
      <c r="C154" s="490">
        <f>IF(D93="","-",+C153+1)</f>
        <v>2073</v>
      </c>
      <c r="D154" s="544">
        <f>IF(F153+SUM(E$99:E153)=D$92,F153,D$92-SUM(E$99:E153))</f>
        <v>0</v>
      </c>
      <c r="E154" s="492">
        <f t="shared" si="17"/>
        <v>0</v>
      </c>
      <c r="F154" s="491">
        <f t="shared" si="18"/>
        <v>0</v>
      </c>
      <c r="G154" s="491">
        <f t="shared" si="19"/>
        <v>0</v>
      </c>
      <c r="H154" s="614">
        <f t="shared" ref="H154" si="28">+J$94*G154+E154</f>
        <v>0</v>
      </c>
      <c r="I154" s="615">
        <f t="shared" si="20"/>
        <v>0</v>
      </c>
      <c r="J154" s="496">
        <f t="shared" si="24"/>
        <v>0</v>
      </c>
      <c r="K154" s="479"/>
      <c r="L154" s="495"/>
      <c r="M154" s="496">
        <f t="shared" si="25"/>
        <v>0</v>
      </c>
      <c r="N154" s="495"/>
      <c r="O154" s="496">
        <f t="shared" si="26"/>
        <v>0</v>
      </c>
      <c r="P154" s="496">
        <f t="shared" si="27"/>
        <v>0</v>
      </c>
    </row>
    <row r="155" spans="2:16" ht="12.5">
      <c r="C155" s="347" t="s">
        <v>77</v>
      </c>
      <c r="D155" s="348"/>
      <c r="E155" s="348">
        <f>SUM(E99:E154)</f>
        <v>288860</v>
      </c>
      <c r="F155" s="348"/>
      <c r="G155" s="348"/>
      <c r="H155" s="348">
        <f>SUM(H99:H154)</f>
        <v>997986.52851079335</v>
      </c>
      <c r="I155" s="348">
        <f>SUM(I99:I154)</f>
        <v>997986.52851079335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D1" zoomScale="86" zoomScaleNormal="86" workbookViewId="0">
      <selection activeCell="D93" sqref="D9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26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934062.15757277235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934062.15757277235</v>
      </c>
      <c r="O6" s="233"/>
      <c r="P6" s="233"/>
    </row>
    <row r="7" spans="1:16" ht="13.5" thickBot="1">
      <c r="C7" s="432" t="s">
        <v>46</v>
      </c>
      <c r="D7" s="104" t="s">
        <v>342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344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9409645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2019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12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218828.95348837209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2019</v>
      </c>
      <c r="D17" s="585">
        <v>0</v>
      </c>
      <c r="E17" s="609">
        <v>0</v>
      </c>
      <c r="F17" s="585">
        <v>5024000</v>
      </c>
      <c r="G17" s="609">
        <v>280481.45781944925</v>
      </c>
      <c r="H17" s="588">
        <v>280481.45781944925</v>
      </c>
      <c r="I17" s="476">
        <f>H17-G17</f>
        <v>0</v>
      </c>
      <c r="J17" s="476"/>
      <c r="K17" s="555">
        <f>+G17</f>
        <v>280481.45781944925</v>
      </c>
      <c r="L17" s="478">
        <f t="shared" ref="L17:L18" si="0">IF(K17&lt;&gt;0,+G17-K17,0)</f>
        <v>0</v>
      </c>
      <c r="M17" s="555">
        <f>+H17</f>
        <v>280481.45781944925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2020</v>
      </c>
      <c r="D18" s="585">
        <v>7156000</v>
      </c>
      <c r="E18" s="586">
        <v>170380.95238095237</v>
      </c>
      <c r="F18" s="585">
        <v>6985619.0476190476</v>
      </c>
      <c r="G18" s="586">
        <v>934062.15757277235</v>
      </c>
      <c r="H18" s="588">
        <v>934062.15757277235</v>
      </c>
      <c r="I18" s="476">
        <f>H18-G18</f>
        <v>0</v>
      </c>
      <c r="J18" s="476"/>
      <c r="K18" s="479">
        <f>+G18</f>
        <v>934062.15757277235</v>
      </c>
      <c r="L18" s="479">
        <f t="shared" si="0"/>
        <v>0</v>
      </c>
      <c r="M18" s="479">
        <f>+H18</f>
        <v>934062.15757277235</v>
      </c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2021</v>
      </c>
      <c r="D19" s="484">
        <f>IF(F18+SUM(E$17:E18)=D$10,F18,D$10-SUM(E$17:E18))</f>
        <v>9239264.0476190485</v>
      </c>
      <c r="E19" s="485">
        <f t="shared" ref="E19:E71" si="3">IF(+I$14&lt;F18,I$14,D19)</f>
        <v>218828.95348837209</v>
      </c>
      <c r="F19" s="486">
        <f t="shared" ref="F19:F71" si="4">+D19-E19</f>
        <v>9020435.0941306762</v>
      </c>
      <c r="G19" s="487">
        <f t="shared" ref="G19:G71" si="5">(D19+F19)/2*I$12+E19</f>
        <v>1269275.9865592737</v>
      </c>
      <c r="H19" s="456">
        <f t="shared" ref="H19:H71" si="6">+(D19+F19)/2*I$13+E19</f>
        <v>1269275.9865592737</v>
      </c>
      <c r="I19" s="476">
        <f t="shared" ref="I19:I71" si="7">H19-G19</f>
        <v>0</v>
      </c>
      <c r="J19" s="476"/>
      <c r="K19" s="488"/>
      <c r="L19" s="479">
        <f t="shared" ref="L19:L72" si="8">IF(K19&lt;&gt;0,+G19-K19,0)</f>
        <v>0</v>
      </c>
      <c r="M19" s="488"/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9">IF(D20=F19,"","IU")</f>
        <v/>
      </c>
      <c r="C20" s="473">
        <f>IF(D11="","-",+C19+1)</f>
        <v>2022</v>
      </c>
      <c r="D20" s="484">
        <f>IF(F19+SUM(E$17:E19)=D$10,F19,D$10-SUM(E$17:E19))</f>
        <v>9020435.0941306762</v>
      </c>
      <c r="E20" s="485">
        <f t="shared" si="3"/>
        <v>218828.95348837209</v>
      </c>
      <c r="F20" s="486">
        <f t="shared" si="4"/>
        <v>8801606.140642304</v>
      </c>
      <c r="G20" s="487">
        <f t="shared" si="5"/>
        <v>1244098.3291228167</v>
      </c>
      <c r="H20" s="456">
        <f t="shared" si="6"/>
        <v>1244098.3291228167</v>
      </c>
      <c r="I20" s="476">
        <f t="shared" si="7"/>
        <v>0</v>
      </c>
      <c r="J20" s="476"/>
      <c r="K20" s="488"/>
      <c r="L20" s="479">
        <f t="shared" si="8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9"/>
        <v/>
      </c>
      <c r="C21" s="473">
        <f>IF(D11="","-",+C20+1)</f>
        <v>2023</v>
      </c>
      <c r="D21" s="484">
        <f>IF(F20+SUM(E$17:E20)=D$10,F20,D$10-SUM(E$17:E20))</f>
        <v>8801606.140642304</v>
      </c>
      <c r="E21" s="485">
        <f t="shared" si="3"/>
        <v>218828.95348837209</v>
      </c>
      <c r="F21" s="486">
        <f t="shared" si="4"/>
        <v>8582777.1871539317</v>
      </c>
      <c r="G21" s="487">
        <f t="shared" si="5"/>
        <v>1218920.6716863599</v>
      </c>
      <c r="H21" s="456">
        <f t="shared" si="6"/>
        <v>1218920.6716863599</v>
      </c>
      <c r="I21" s="476">
        <f t="shared" si="7"/>
        <v>0</v>
      </c>
      <c r="J21" s="476"/>
      <c r="K21" s="488"/>
      <c r="L21" s="479">
        <f t="shared" si="8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9"/>
        <v/>
      </c>
      <c r="C22" s="473">
        <f>IF(D11="","-",+C21+1)</f>
        <v>2024</v>
      </c>
      <c r="D22" s="484">
        <f>IF(F21+SUM(E$17:E21)=D$10,F21,D$10-SUM(E$17:E21))</f>
        <v>8582777.1871539317</v>
      </c>
      <c r="E22" s="485">
        <f t="shared" si="3"/>
        <v>218828.95348837209</v>
      </c>
      <c r="F22" s="486">
        <f t="shared" si="4"/>
        <v>8363948.2336655594</v>
      </c>
      <c r="G22" s="487">
        <f t="shared" si="5"/>
        <v>1193743.0142499029</v>
      </c>
      <c r="H22" s="456">
        <f t="shared" si="6"/>
        <v>1193743.0142499029</v>
      </c>
      <c r="I22" s="476">
        <f t="shared" si="7"/>
        <v>0</v>
      </c>
      <c r="J22" s="476"/>
      <c r="K22" s="488"/>
      <c r="L22" s="479">
        <f t="shared" si="8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9"/>
        <v/>
      </c>
      <c r="C23" s="473">
        <f>IF(D11="","-",+C22+1)</f>
        <v>2025</v>
      </c>
      <c r="D23" s="484">
        <f>IF(F22+SUM(E$17:E22)=D$10,F22,D$10-SUM(E$17:E22))</f>
        <v>8363948.2336655594</v>
      </c>
      <c r="E23" s="485">
        <f t="shared" si="3"/>
        <v>218828.95348837209</v>
      </c>
      <c r="F23" s="486">
        <f t="shared" si="4"/>
        <v>8145119.2801771872</v>
      </c>
      <c r="G23" s="487">
        <f t="shared" si="5"/>
        <v>1168565.3568134459</v>
      </c>
      <c r="H23" s="456">
        <f t="shared" si="6"/>
        <v>1168565.3568134459</v>
      </c>
      <c r="I23" s="476">
        <f t="shared" si="7"/>
        <v>0</v>
      </c>
      <c r="J23" s="476"/>
      <c r="K23" s="488"/>
      <c r="L23" s="479">
        <f t="shared" si="8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9"/>
        <v/>
      </c>
      <c r="C24" s="473">
        <f>IF(D11="","-",+C23+1)</f>
        <v>2026</v>
      </c>
      <c r="D24" s="484">
        <f>IF(F23+SUM(E$17:E23)=D$10,F23,D$10-SUM(E$17:E23))</f>
        <v>8145119.2801771872</v>
      </c>
      <c r="E24" s="485">
        <f t="shared" si="3"/>
        <v>218828.95348837209</v>
      </c>
      <c r="F24" s="486">
        <f t="shared" si="4"/>
        <v>7926290.3266888149</v>
      </c>
      <c r="G24" s="487">
        <f t="shared" si="5"/>
        <v>1143387.6993769889</v>
      </c>
      <c r="H24" s="456">
        <f t="shared" si="6"/>
        <v>1143387.6993769889</v>
      </c>
      <c r="I24" s="476">
        <f t="shared" si="7"/>
        <v>0</v>
      </c>
      <c r="J24" s="476"/>
      <c r="K24" s="488"/>
      <c r="L24" s="479">
        <f t="shared" si="8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9"/>
        <v/>
      </c>
      <c r="C25" s="473">
        <f>IF(D11="","-",+C24+1)</f>
        <v>2027</v>
      </c>
      <c r="D25" s="484">
        <f>IF(F24+SUM(E$17:E24)=D$10,F24,D$10-SUM(E$17:E24))</f>
        <v>7926290.3266888149</v>
      </c>
      <c r="E25" s="485">
        <f t="shared" si="3"/>
        <v>218828.95348837209</v>
      </c>
      <c r="F25" s="486">
        <f t="shared" si="4"/>
        <v>7707461.3732004426</v>
      </c>
      <c r="G25" s="487">
        <f t="shared" si="5"/>
        <v>1118210.0419405319</v>
      </c>
      <c r="H25" s="456">
        <f t="shared" si="6"/>
        <v>1118210.0419405319</v>
      </c>
      <c r="I25" s="476">
        <f t="shared" si="7"/>
        <v>0</v>
      </c>
      <c r="J25" s="476"/>
      <c r="K25" s="488"/>
      <c r="L25" s="479">
        <f t="shared" si="8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9"/>
        <v/>
      </c>
      <c r="C26" s="473">
        <f>IF(D11="","-",+C25+1)</f>
        <v>2028</v>
      </c>
      <c r="D26" s="484">
        <f>IF(F25+SUM(E$17:E25)=D$10,F25,D$10-SUM(E$17:E25))</f>
        <v>7707461.3732004426</v>
      </c>
      <c r="E26" s="485">
        <f t="shared" si="3"/>
        <v>218828.95348837209</v>
      </c>
      <c r="F26" s="486">
        <f t="shared" si="4"/>
        <v>7488632.4197120704</v>
      </c>
      <c r="G26" s="487">
        <f t="shared" si="5"/>
        <v>1093032.3845040749</v>
      </c>
      <c r="H26" s="456">
        <f t="shared" si="6"/>
        <v>1093032.3845040749</v>
      </c>
      <c r="I26" s="476">
        <f t="shared" si="7"/>
        <v>0</v>
      </c>
      <c r="J26" s="476"/>
      <c r="K26" s="488"/>
      <c r="L26" s="479">
        <f t="shared" si="8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9"/>
        <v/>
      </c>
      <c r="C27" s="473">
        <f>IF(D11="","-",+C26+1)</f>
        <v>2029</v>
      </c>
      <c r="D27" s="484">
        <f>IF(F26+SUM(E$17:E26)=D$10,F26,D$10-SUM(E$17:E26))</f>
        <v>7488632.4197120704</v>
      </c>
      <c r="E27" s="485">
        <f t="shared" si="3"/>
        <v>218828.95348837209</v>
      </c>
      <c r="F27" s="486">
        <f t="shared" si="4"/>
        <v>7269803.4662236981</v>
      </c>
      <c r="G27" s="487">
        <f t="shared" si="5"/>
        <v>1067854.7270676179</v>
      </c>
      <c r="H27" s="456">
        <f t="shared" si="6"/>
        <v>1067854.7270676179</v>
      </c>
      <c r="I27" s="476">
        <f t="shared" si="7"/>
        <v>0</v>
      </c>
      <c r="J27" s="476"/>
      <c r="K27" s="488"/>
      <c r="L27" s="479">
        <f t="shared" si="8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9"/>
        <v/>
      </c>
      <c r="C28" s="473">
        <f>IF(D11="","-",+C27+1)</f>
        <v>2030</v>
      </c>
      <c r="D28" s="484">
        <f>IF(F27+SUM(E$17:E27)=D$10,F27,D$10-SUM(E$17:E27))</f>
        <v>7269803.4662236981</v>
      </c>
      <c r="E28" s="485">
        <f t="shared" si="3"/>
        <v>218828.95348837209</v>
      </c>
      <c r="F28" s="486">
        <f t="shared" si="4"/>
        <v>7050974.5127353258</v>
      </c>
      <c r="G28" s="487">
        <f t="shared" si="5"/>
        <v>1042677.0696311609</v>
      </c>
      <c r="H28" s="456">
        <f t="shared" si="6"/>
        <v>1042677.0696311609</v>
      </c>
      <c r="I28" s="476">
        <f t="shared" si="7"/>
        <v>0</v>
      </c>
      <c r="J28" s="476"/>
      <c r="K28" s="488"/>
      <c r="L28" s="479">
        <f t="shared" si="8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9"/>
        <v/>
      </c>
      <c r="C29" s="473">
        <f>IF(D11="","-",+C28+1)</f>
        <v>2031</v>
      </c>
      <c r="D29" s="484">
        <f>IF(F28+SUM(E$17:E28)=D$10,F28,D$10-SUM(E$17:E28))</f>
        <v>7050974.5127353258</v>
      </c>
      <c r="E29" s="485">
        <f t="shared" si="3"/>
        <v>218828.95348837209</v>
      </c>
      <c r="F29" s="486">
        <f t="shared" si="4"/>
        <v>6832145.5592469536</v>
      </c>
      <c r="G29" s="487">
        <f t="shared" si="5"/>
        <v>1017499.4121947039</v>
      </c>
      <c r="H29" s="456">
        <f t="shared" si="6"/>
        <v>1017499.4121947039</v>
      </c>
      <c r="I29" s="476">
        <f t="shared" si="7"/>
        <v>0</v>
      </c>
      <c r="J29" s="476"/>
      <c r="K29" s="488"/>
      <c r="L29" s="479">
        <f t="shared" si="8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9"/>
        <v/>
      </c>
      <c r="C30" s="473">
        <f>IF(D11="","-",+C29+1)</f>
        <v>2032</v>
      </c>
      <c r="D30" s="484">
        <f>IF(F29+SUM(E$17:E29)=D$10,F29,D$10-SUM(E$17:E29))</f>
        <v>6832145.5592469536</v>
      </c>
      <c r="E30" s="485">
        <f t="shared" si="3"/>
        <v>218828.95348837209</v>
      </c>
      <c r="F30" s="486">
        <f t="shared" si="4"/>
        <v>6613316.6057585813</v>
      </c>
      <c r="G30" s="487">
        <f t="shared" si="5"/>
        <v>992321.75475824694</v>
      </c>
      <c r="H30" s="456">
        <f t="shared" si="6"/>
        <v>992321.75475824694</v>
      </c>
      <c r="I30" s="476">
        <f t="shared" si="7"/>
        <v>0</v>
      </c>
      <c r="J30" s="476"/>
      <c r="K30" s="488"/>
      <c r="L30" s="479">
        <f t="shared" si="8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9"/>
        <v/>
      </c>
      <c r="C31" s="473">
        <f>IF(D11="","-",+C30+1)</f>
        <v>2033</v>
      </c>
      <c r="D31" s="484">
        <f>IF(F30+SUM(E$17:E30)=D$10,F30,D$10-SUM(E$17:E30))</f>
        <v>6613316.6057585813</v>
      </c>
      <c r="E31" s="485">
        <f t="shared" si="3"/>
        <v>218828.95348837209</v>
      </c>
      <c r="F31" s="486">
        <f t="shared" si="4"/>
        <v>6394487.652270209</v>
      </c>
      <c r="G31" s="487">
        <f t="shared" si="5"/>
        <v>967144.09732179018</v>
      </c>
      <c r="H31" s="456">
        <f t="shared" si="6"/>
        <v>967144.09732179018</v>
      </c>
      <c r="I31" s="476">
        <f t="shared" si="7"/>
        <v>0</v>
      </c>
      <c r="J31" s="476"/>
      <c r="K31" s="488"/>
      <c r="L31" s="479">
        <f t="shared" si="8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9"/>
        <v/>
      </c>
      <c r="C32" s="473">
        <f>IF(D11="","-",+C31+1)</f>
        <v>2034</v>
      </c>
      <c r="D32" s="484">
        <f>IF(F31+SUM(E$17:E31)=D$10,F31,D$10-SUM(E$17:E31))</f>
        <v>6394487.652270209</v>
      </c>
      <c r="E32" s="485">
        <f t="shared" si="3"/>
        <v>218828.95348837209</v>
      </c>
      <c r="F32" s="486">
        <f t="shared" si="4"/>
        <v>6175658.6987818368</v>
      </c>
      <c r="G32" s="487">
        <f t="shared" si="5"/>
        <v>941966.43988533318</v>
      </c>
      <c r="H32" s="456">
        <f t="shared" si="6"/>
        <v>941966.43988533318</v>
      </c>
      <c r="I32" s="476">
        <f t="shared" si="7"/>
        <v>0</v>
      </c>
      <c r="J32" s="476"/>
      <c r="K32" s="488"/>
      <c r="L32" s="479">
        <f t="shared" si="8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9"/>
        <v/>
      </c>
      <c r="C33" s="473">
        <f>IF(D11="","-",+C32+1)</f>
        <v>2035</v>
      </c>
      <c r="D33" s="484">
        <f>IF(F32+SUM(E$17:E32)=D$10,F32,D$10-SUM(E$17:E32))</f>
        <v>6175658.6987818368</v>
      </c>
      <c r="E33" s="485">
        <f t="shared" si="3"/>
        <v>218828.95348837209</v>
      </c>
      <c r="F33" s="486">
        <f t="shared" si="4"/>
        <v>5956829.7452934645</v>
      </c>
      <c r="G33" s="487">
        <f t="shared" si="5"/>
        <v>916788.78244887618</v>
      </c>
      <c r="H33" s="456">
        <f t="shared" si="6"/>
        <v>916788.78244887618</v>
      </c>
      <c r="I33" s="476">
        <f t="shared" si="7"/>
        <v>0</v>
      </c>
      <c r="J33" s="476"/>
      <c r="K33" s="488"/>
      <c r="L33" s="479">
        <f t="shared" si="8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9"/>
        <v/>
      </c>
      <c r="C34" s="473">
        <f>IF(D11="","-",+C33+1)</f>
        <v>2036</v>
      </c>
      <c r="D34" s="484">
        <f>IF(F33+SUM(E$17:E33)=D$10,F33,D$10-SUM(E$17:E33))</f>
        <v>5956829.7452934645</v>
      </c>
      <c r="E34" s="485">
        <f t="shared" si="3"/>
        <v>218828.95348837209</v>
      </c>
      <c r="F34" s="486">
        <f t="shared" si="4"/>
        <v>5738000.7918050922</v>
      </c>
      <c r="G34" s="487">
        <f t="shared" si="5"/>
        <v>891611.12501241919</v>
      </c>
      <c r="H34" s="456">
        <f t="shared" si="6"/>
        <v>891611.12501241919</v>
      </c>
      <c r="I34" s="476">
        <f t="shared" si="7"/>
        <v>0</v>
      </c>
      <c r="J34" s="476"/>
      <c r="K34" s="488"/>
      <c r="L34" s="479">
        <f t="shared" si="8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9"/>
        <v/>
      </c>
      <c r="C35" s="473">
        <f>IF(D11="","-",+C34+1)</f>
        <v>2037</v>
      </c>
      <c r="D35" s="484">
        <f>IF(F34+SUM(E$17:E34)=D$10,F34,D$10-SUM(E$17:E34))</f>
        <v>5738000.7918050922</v>
      </c>
      <c r="E35" s="485">
        <f t="shared" si="3"/>
        <v>218828.95348837209</v>
      </c>
      <c r="F35" s="486">
        <f t="shared" si="4"/>
        <v>5519171.83831672</v>
      </c>
      <c r="G35" s="487">
        <f t="shared" si="5"/>
        <v>866433.46757596219</v>
      </c>
      <c r="H35" s="456">
        <f t="shared" si="6"/>
        <v>866433.46757596219</v>
      </c>
      <c r="I35" s="476">
        <f t="shared" si="7"/>
        <v>0</v>
      </c>
      <c r="J35" s="476"/>
      <c r="K35" s="488"/>
      <c r="L35" s="479">
        <f t="shared" si="8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9"/>
        <v/>
      </c>
      <c r="C36" s="473">
        <f>IF(D11="","-",+C35+1)</f>
        <v>2038</v>
      </c>
      <c r="D36" s="484">
        <f>IF(F35+SUM(E$17:E35)=D$10,F35,D$10-SUM(E$17:E35))</f>
        <v>5519171.83831672</v>
      </c>
      <c r="E36" s="485">
        <f t="shared" si="3"/>
        <v>218828.95348837209</v>
      </c>
      <c r="F36" s="486">
        <f t="shared" si="4"/>
        <v>5300342.8848283477</v>
      </c>
      <c r="G36" s="487">
        <f t="shared" si="5"/>
        <v>841255.81013950519</v>
      </c>
      <c r="H36" s="456">
        <f t="shared" si="6"/>
        <v>841255.81013950519</v>
      </c>
      <c r="I36" s="476">
        <f t="shared" si="7"/>
        <v>0</v>
      </c>
      <c r="J36" s="476"/>
      <c r="K36" s="488"/>
      <c r="L36" s="479">
        <f t="shared" si="8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9"/>
        <v/>
      </c>
      <c r="C37" s="473">
        <f>IF(D11="","-",+C36+1)</f>
        <v>2039</v>
      </c>
      <c r="D37" s="484">
        <f>IF(F36+SUM(E$17:E36)=D$10,F36,D$10-SUM(E$17:E36))</f>
        <v>5300342.8848283477</v>
      </c>
      <c r="E37" s="485">
        <f t="shared" si="3"/>
        <v>218828.95348837209</v>
      </c>
      <c r="F37" s="486">
        <f t="shared" si="4"/>
        <v>5081513.9313399754</v>
      </c>
      <c r="G37" s="487">
        <f t="shared" si="5"/>
        <v>816078.1527030482</v>
      </c>
      <c r="H37" s="456">
        <f t="shared" si="6"/>
        <v>816078.1527030482</v>
      </c>
      <c r="I37" s="476">
        <f t="shared" si="7"/>
        <v>0</v>
      </c>
      <c r="J37" s="476"/>
      <c r="K37" s="488"/>
      <c r="L37" s="479">
        <f t="shared" si="8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9"/>
        <v/>
      </c>
      <c r="C38" s="473">
        <f>IF(D11="","-",+C37+1)</f>
        <v>2040</v>
      </c>
      <c r="D38" s="484">
        <f>IF(F37+SUM(E$17:E37)=D$10,F37,D$10-SUM(E$17:E37))</f>
        <v>5081513.9313399754</v>
      </c>
      <c r="E38" s="485">
        <f t="shared" si="3"/>
        <v>218828.95348837209</v>
      </c>
      <c r="F38" s="486">
        <f t="shared" si="4"/>
        <v>4862684.9778516032</v>
      </c>
      <c r="G38" s="487">
        <f t="shared" si="5"/>
        <v>790900.4952665912</v>
      </c>
      <c r="H38" s="456">
        <f t="shared" si="6"/>
        <v>790900.4952665912</v>
      </c>
      <c r="I38" s="476">
        <f t="shared" si="7"/>
        <v>0</v>
      </c>
      <c r="J38" s="476"/>
      <c r="K38" s="488"/>
      <c r="L38" s="479">
        <f t="shared" si="8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9"/>
        <v/>
      </c>
      <c r="C39" s="473">
        <f>IF(D11="","-",+C38+1)</f>
        <v>2041</v>
      </c>
      <c r="D39" s="484">
        <f>IF(F38+SUM(E$17:E38)=D$10,F38,D$10-SUM(E$17:E38))</f>
        <v>4862684.9778516032</v>
      </c>
      <c r="E39" s="485">
        <f t="shared" si="3"/>
        <v>218828.95348837209</v>
      </c>
      <c r="F39" s="486">
        <f t="shared" si="4"/>
        <v>4643856.0243632309</v>
      </c>
      <c r="G39" s="487">
        <f t="shared" si="5"/>
        <v>765722.8378301342</v>
      </c>
      <c r="H39" s="456">
        <f t="shared" si="6"/>
        <v>765722.8378301342</v>
      </c>
      <c r="I39" s="476">
        <f t="shared" si="7"/>
        <v>0</v>
      </c>
      <c r="J39" s="476"/>
      <c r="K39" s="488"/>
      <c r="L39" s="479">
        <f t="shared" si="8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9"/>
        <v/>
      </c>
      <c r="C40" s="473">
        <f>IF(D11="","-",+C39+1)</f>
        <v>2042</v>
      </c>
      <c r="D40" s="484">
        <f>IF(F39+SUM(E$17:E39)=D$10,F39,D$10-SUM(E$17:E39))</f>
        <v>4643856.0243632309</v>
      </c>
      <c r="E40" s="485">
        <f t="shared" si="3"/>
        <v>218828.95348837209</v>
      </c>
      <c r="F40" s="486">
        <f t="shared" si="4"/>
        <v>4425027.0708748586</v>
      </c>
      <c r="G40" s="487">
        <f t="shared" si="5"/>
        <v>740545.18039367732</v>
      </c>
      <c r="H40" s="456">
        <f t="shared" si="6"/>
        <v>740545.18039367732</v>
      </c>
      <c r="I40" s="476">
        <f t="shared" si="7"/>
        <v>0</v>
      </c>
      <c r="J40" s="476"/>
      <c r="K40" s="488"/>
      <c r="L40" s="479">
        <f t="shared" si="8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9"/>
        <v/>
      </c>
      <c r="C41" s="473">
        <f>IF(D11="","-",+C40+1)</f>
        <v>2043</v>
      </c>
      <c r="D41" s="484">
        <f>IF(F40+SUM(E$17:E40)=D$10,F40,D$10-SUM(E$17:E40))</f>
        <v>4425027.0708748586</v>
      </c>
      <c r="E41" s="485">
        <f t="shared" si="3"/>
        <v>218828.95348837209</v>
      </c>
      <c r="F41" s="486">
        <f t="shared" si="4"/>
        <v>4206198.1173864864</v>
      </c>
      <c r="G41" s="487">
        <f t="shared" si="5"/>
        <v>715367.52295722032</v>
      </c>
      <c r="H41" s="456">
        <f t="shared" si="6"/>
        <v>715367.52295722032</v>
      </c>
      <c r="I41" s="476">
        <f t="shared" si="7"/>
        <v>0</v>
      </c>
      <c r="J41" s="476"/>
      <c r="K41" s="488"/>
      <c r="L41" s="479">
        <f t="shared" si="8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9"/>
        <v/>
      </c>
      <c r="C42" s="473">
        <f>IF(D11="","-",+C41+1)</f>
        <v>2044</v>
      </c>
      <c r="D42" s="484">
        <f>IF(F41+SUM(E$17:E41)=D$10,F41,D$10-SUM(E$17:E41))</f>
        <v>4206198.1173864864</v>
      </c>
      <c r="E42" s="485">
        <f t="shared" si="3"/>
        <v>218828.95348837209</v>
      </c>
      <c r="F42" s="486">
        <f t="shared" si="4"/>
        <v>3987369.1638981141</v>
      </c>
      <c r="G42" s="487">
        <f t="shared" si="5"/>
        <v>690189.86552076344</v>
      </c>
      <c r="H42" s="456">
        <f t="shared" si="6"/>
        <v>690189.86552076344</v>
      </c>
      <c r="I42" s="476">
        <f t="shared" si="7"/>
        <v>0</v>
      </c>
      <c r="J42" s="476"/>
      <c r="K42" s="488"/>
      <c r="L42" s="479">
        <f t="shared" si="8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9"/>
        <v/>
      </c>
      <c r="C43" s="473">
        <f>IF(D11="","-",+C42+1)</f>
        <v>2045</v>
      </c>
      <c r="D43" s="484">
        <f>IF(F42+SUM(E$17:E42)=D$10,F42,D$10-SUM(E$17:E42))</f>
        <v>3987369.1638981141</v>
      </c>
      <c r="E43" s="485">
        <f t="shared" si="3"/>
        <v>218828.95348837209</v>
      </c>
      <c r="F43" s="486">
        <f t="shared" si="4"/>
        <v>3768540.2104097418</v>
      </c>
      <c r="G43" s="487">
        <f t="shared" si="5"/>
        <v>665012.20808430645</v>
      </c>
      <c r="H43" s="456">
        <f t="shared" si="6"/>
        <v>665012.20808430645</v>
      </c>
      <c r="I43" s="476">
        <f t="shared" si="7"/>
        <v>0</v>
      </c>
      <c r="J43" s="476"/>
      <c r="K43" s="488"/>
      <c r="L43" s="479">
        <f t="shared" si="8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9"/>
        <v/>
      </c>
      <c r="C44" s="473">
        <f>IF(D11="","-",+C43+1)</f>
        <v>2046</v>
      </c>
      <c r="D44" s="484">
        <f>IF(F43+SUM(E$17:E43)=D$10,F43,D$10-SUM(E$17:E43))</f>
        <v>3768540.2104097418</v>
      </c>
      <c r="E44" s="485">
        <f t="shared" si="3"/>
        <v>218828.95348837209</v>
      </c>
      <c r="F44" s="486">
        <f t="shared" si="4"/>
        <v>3549711.2569213696</v>
      </c>
      <c r="G44" s="487">
        <f t="shared" si="5"/>
        <v>639834.55064784945</v>
      </c>
      <c r="H44" s="456">
        <f t="shared" si="6"/>
        <v>639834.55064784945</v>
      </c>
      <c r="I44" s="476">
        <f t="shared" si="7"/>
        <v>0</v>
      </c>
      <c r="J44" s="476"/>
      <c r="K44" s="488"/>
      <c r="L44" s="479">
        <f t="shared" si="8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9"/>
        <v/>
      </c>
      <c r="C45" s="473">
        <f>IF(D11="","-",+C44+1)</f>
        <v>2047</v>
      </c>
      <c r="D45" s="484">
        <f>IF(F44+SUM(E$17:E44)=D$10,F44,D$10-SUM(E$17:E44))</f>
        <v>3549711.2569213696</v>
      </c>
      <c r="E45" s="485">
        <f t="shared" si="3"/>
        <v>218828.95348837209</v>
      </c>
      <c r="F45" s="486">
        <f t="shared" si="4"/>
        <v>3330882.3034329973</v>
      </c>
      <c r="G45" s="487">
        <f t="shared" si="5"/>
        <v>614656.89321139245</v>
      </c>
      <c r="H45" s="456">
        <f t="shared" si="6"/>
        <v>614656.89321139245</v>
      </c>
      <c r="I45" s="476">
        <f t="shared" si="7"/>
        <v>0</v>
      </c>
      <c r="J45" s="476"/>
      <c r="K45" s="488"/>
      <c r="L45" s="479">
        <f t="shared" si="8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9"/>
        <v/>
      </c>
      <c r="C46" s="473">
        <f>IF(D11="","-",+C45+1)</f>
        <v>2048</v>
      </c>
      <c r="D46" s="484">
        <f>IF(F45+SUM(E$17:E45)=D$10,F45,D$10-SUM(E$17:E45))</f>
        <v>3330882.3034329973</v>
      </c>
      <c r="E46" s="485">
        <f t="shared" si="3"/>
        <v>218828.95348837209</v>
      </c>
      <c r="F46" s="486">
        <f t="shared" si="4"/>
        <v>3112053.349944625</v>
      </c>
      <c r="G46" s="487">
        <f t="shared" si="5"/>
        <v>589479.23577493546</v>
      </c>
      <c r="H46" s="456">
        <f t="shared" si="6"/>
        <v>589479.23577493546</v>
      </c>
      <c r="I46" s="476">
        <f t="shared" si="7"/>
        <v>0</v>
      </c>
      <c r="J46" s="476"/>
      <c r="K46" s="488"/>
      <c r="L46" s="479">
        <f t="shared" si="8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9"/>
        <v/>
      </c>
      <c r="C47" s="473">
        <f>IF(D11="","-",+C46+1)</f>
        <v>2049</v>
      </c>
      <c r="D47" s="484">
        <f>IF(F46+SUM(E$17:E46)=D$10,F46,D$10-SUM(E$17:E46))</f>
        <v>3112053.349944625</v>
      </c>
      <c r="E47" s="485">
        <f t="shared" si="3"/>
        <v>218828.95348837209</v>
      </c>
      <c r="F47" s="486">
        <f t="shared" si="4"/>
        <v>2893224.3964562528</v>
      </c>
      <c r="G47" s="487">
        <f t="shared" si="5"/>
        <v>564301.57833847846</v>
      </c>
      <c r="H47" s="456">
        <f t="shared" si="6"/>
        <v>564301.57833847846</v>
      </c>
      <c r="I47" s="476">
        <f t="shared" si="7"/>
        <v>0</v>
      </c>
      <c r="J47" s="476"/>
      <c r="K47" s="488"/>
      <c r="L47" s="479">
        <f t="shared" si="8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9"/>
        <v/>
      </c>
      <c r="C48" s="473">
        <f>IF(D11="","-",+C47+1)</f>
        <v>2050</v>
      </c>
      <c r="D48" s="484">
        <f>IF(F47+SUM(E$17:E47)=D$10,F47,D$10-SUM(E$17:E47))</f>
        <v>2893224.3964562528</v>
      </c>
      <c r="E48" s="485">
        <f t="shared" si="3"/>
        <v>218828.95348837209</v>
      </c>
      <c r="F48" s="486">
        <f t="shared" si="4"/>
        <v>2674395.4429678805</v>
      </c>
      <c r="G48" s="487">
        <f t="shared" si="5"/>
        <v>539123.92090202146</v>
      </c>
      <c r="H48" s="456">
        <f t="shared" si="6"/>
        <v>539123.92090202146</v>
      </c>
      <c r="I48" s="476">
        <f t="shared" si="7"/>
        <v>0</v>
      </c>
      <c r="J48" s="476"/>
      <c r="K48" s="488"/>
      <c r="L48" s="479">
        <f t="shared" si="8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9"/>
        <v/>
      </c>
      <c r="C49" s="473">
        <f>IF(D11="","-",+C48+1)</f>
        <v>2051</v>
      </c>
      <c r="D49" s="484">
        <f>IF(F48+SUM(E$17:E48)=D$10,F48,D$10-SUM(E$17:E48))</f>
        <v>2674395.4429678805</v>
      </c>
      <c r="E49" s="485">
        <f t="shared" si="3"/>
        <v>218828.95348837209</v>
      </c>
      <c r="F49" s="486">
        <f t="shared" si="4"/>
        <v>2455566.4894795083</v>
      </c>
      <c r="G49" s="487">
        <f t="shared" si="5"/>
        <v>513946.26346556458</v>
      </c>
      <c r="H49" s="456">
        <f t="shared" si="6"/>
        <v>513946.26346556458</v>
      </c>
      <c r="I49" s="476">
        <f t="shared" si="7"/>
        <v>0</v>
      </c>
      <c r="J49" s="476"/>
      <c r="K49" s="488"/>
      <c r="L49" s="479">
        <f t="shared" si="8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9"/>
        <v/>
      </c>
      <c r="C50" s="473">
        <f>IF(D11="","-",+C49+1)</f>
        <v>2052</v>
      </c>
      <c r="D50" s="484">
        <f>IF(F49+SUM(E$17:E49)=D$10,F49,D$10-SUM(E$17:E49))</f>
        <v>2455566.4894795083</v>
      </c>
      <c r="E50" s="485">
        <f t="shared" si="3"/>
        <v>218828.95348837209</v>
      </c>
      <c r="F50" s="486">
        <f t="shared" si="4"/>
        <v>2236737.535991136</v>
      </c>
      <c r="G50" s="487">
        <f t="shared" si="5"/>
        <v>488768.60602910758</v>
      </c>
      <c r="H50" s="456">
        <f t="shared" si="6"/>
        <v>488768.60602910758</v>
      </c>
      <c r="I50" s="476">
        <f t="shared" si="7"/>
        <v>0</v>
      </c>
      <c r="J50" s="476"/>
      <c r="K50" s="488"/>
      <c r="L50" s="479">
        <f t="shared" si="8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9"/>
        <v/>
      </c>
      <c r="C51" s="473">
        <f>IF(D11="","-",+C50+1)</f>
        <v>2053</v>
      </c>
      <c r="D51" s="484">
        <f>IF(F50+SUM(E$17:E50)=D$10,F50,D$10-SUM(E$17:E50))</f>
        <v>2236737.535991136</v>
      </c>
      <c r="E51" s="485">
        <f t="shared" si="3"/>
        <v>218828.95348837209</v>
      </c>
      <c r="F51" s="486">
        <f t="shared" si="4"/>
        <v>2017908.582502764</v>
      </c>
      <c r="G51" s="487">
        <f t="shared" si="5"/>
        <v>463590.94859265059</v>
      </c>
      <c r="H51" s="456">
        <f t="shared" si="6"/>
        <v>463590.94859265059</v>
      </c>
      <c r="I51" s="476">
        <f t="shared" si="7"/>
        <v>0</v>
      </c>
      <c r="J51" s="476"/>
      <c r="K51" s="488"/>
      <c r="L51" s="479">
        <f t="shared" si="8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9"/>
        <v/>
      </c>
      <c r="C52" s="473">
        <f>IF(D11="","-",+C51+1)</f>
        <v>2054</v>
      </c>
      <c r="D52" s="484">
        <f>IF(F51+SUM(E$17:E51)=D$10,F51,D$10-SUM(E$17:E51))</f>
        <v>2017908.582502764</v>
      </c>
      <c r="E52" s="485">
        <f t="shared" si="3"/>
        <v>218828.95348837209</v>
      </c>
      <c r="F52" s="486">
        <f t="shared" si="4"/>
        <v>1799079.6290143919</v>
      </c>
      <c r="G52" s="487">
        <f t="shared" si="5"/>
        <v>438413.29115619371</v>
      </c>
      <c r="H52" s="456">
        <f t="shared" si="6"/>
        <v>438413.29115619371</v>
      </c>
      <c r="I52" s="476">
        <f t="shared" si="7"/>
        <v>0</v>
      </c>
      <c r="J52" s="476"/>
      <c r="K52" s="488"/>
      <c r="L52" s="479">
        <f t="shared" si="8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9"/>
        <v/>
      </c>
      <c r="C53" s="473">
        <f>IF(D11="","-",+C52+1)</f>
        <v>2055</v>
      </c>
      <c r="D53" s="484">
        <f>IF(F52+SUM(E$17:E52)=D$10,F52,D$10-SUM(E$17:E52))</f>
        <v>1799079.6290143919</v>
      </c>
      <c r="E53" s="485">
        <f t="shared" si="3"/>
        <v>218828.95348837209</v>
      </c>
      <c r="F53" s="486">
        <f t="shared" si="4"/>
        <v>1580250.6755260199</v>
      </c>
      <c r="G53" s="487">
        <f t="shared" si="5"/>
        <v>413235.63371973671</v>
      </c>
      <c r="H53" s="456">
        <f t="shared" si="6"/>
        <v>413235.63371973671</v>
      </c>
      <c r="I53" s="476">
        <f t="shared" si="7"/>
        <v>0</v>
      </c>
      <c r="J53" s="476"/>
      <c r="K53" s="488"/>
      <c r="L53" s="479">
        <f t="shared" si="8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9"/>
        <v/>
      </c>
      <c r="C54" s="473">
        <f>IF(D11="","-",+C53+1)</f>
        <v>2056</v>
      </c>
      <c r="D54" s="484">
        <f>IF(F53+SUM(E$17:E53)=D$10,F53,D$10-SUM(E$17:E53))</f>
        <v>1580250.6755260199</v>
      </c>
      <c r="E54" s="485">
        <f t="shared" si="3"/>
        <v>218828.95348837209</v>
      </c>
      <c r="F54" s="486">
        <f t="shared" si="4"/>
        <v>1361421.7220376479</v>
      </c>
      <c r="G54" s="487">
        <f t="shared" si="5"/>
        <v>388057.97628327983</v>
      </c>
      <c r="H54" s="456">
        <f t="shared" si="6"/>
        <v>388057.97628327983</v>
      </c>
      <c r="I54" s="476">
        <f t="shared" si="7"/>
        <v>0</v>
      </c>
      <c r="J54" s="476"/>
      <c r="K54" s="488"/>
      <c r="L54" s="479">
        <f t="shared" si="8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9"/>
        <v/>
      </c>
      <c r="C55" s="473">
        <f>IF(D11="","-",+C54+1)</f>
        <v>2057</v>
      </c>
      <c r="D55" s="484">
        <f>IF(F54+SUM(E$17:E54)=D$10,F54,D$10-SUM(E$17:E54))</f>
        <v>1361421.7220376479</v>
      </c>
      <c r="E55" s="485">
        <f t="shared" si="3"/>
        <v>218828.95348837209</v>
      </c>
      <c r="F55" s="486">
        <f t="shared" si="4"/>
        <v>1142592.7685492758</v>
      </c>
      <c r="G55" s="487">
        <f t="shared" si="5"/>
        <v>362880.31884682283</v>
      </c>
      <c r="H55" s="456">
        <f t="shared" si="6"/>
        <v>362880.31884682283</v>
      </c>
      <c r="I55" s="476">
        <f t="shared" si="7"/>
        <v>0</v>
      </c>
      <c r="J55" s="476"/>
      <c r="K55" s="488"/>
      <c r="L55" s="479">
        <f t="shared" si="8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9"/>
        <v/>
      </c>
      <c r="C56" s="473">
        <f>IF(D11="","-",+C55+1)</f>
        <v>2058</v>
      </c>
      <c r="D56" s="484">
        <f>IF(F55+SUM(E$17:E55)=D$10,F55,D$10-SUM(E$17:E55))</f>
        <v>1142592.7685492758</v>
      </c>
      <c r="E56" s="485">
        <f t="shared" si="3"/>
        <v>218828.95348837209</v>
      </c>
      <c r="F56" s="486">
        <f t="shared" si="4"/>
        <v>923763.81506090378</v>
      </c>
      <c r="G56" s="487">
        <f t="shared" si="5"/>
        <v>337702.66141036589</v>
      </c>
      <c r="H56" s="456">
        <f t="shared" si="6"/>
        <v>337702.66141036589</v>
      </c>
      <c r="I56" s="476">
        <f t="shared" si="7"/>
        <v>0</v>
      </c>
      <c r="J56" s="476"/>
      <c r="K56" s="488"/>
      <c r="L56" s="479">
        <f t="shared" si="8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9"/>
        <v/>
      </c>
      <c r="C57" s="473">
        <f>IF(D11="","-",+C56+1)</f>
        <v>2059</v>
      </c>
      <c r="D57" s="484">
        <f>IF(F56+SUM(E$17:E56)=D$10,F56,D$10-SUM(E$17:E56))</f>
        <v>923763.81506090378</v>
      </c>
      <c r="E57" s="485">
        <f t="shared" si="3"/>
        <v>218828.95348837209</v>
      </c>
      <c r="F57" s="486">
        <f t="shared" si="4"/>
        <v>704934.86157253175</v>
      </c>
      <c r="G57" s="487">
        <f t="shared" si="5"/>
        <v>312525.00397390896</v>
      </c>
      <c r="H57" s="456">
        <f t="shared" si="6"/>
        <v>312525.00397390896</v>
      </c>
      <c r="I57" s="476">
        <f t="shared" si="7"/>
        <v>0</v>
      </c>
      <c r="J57" s="476"/>
      <c r="K57" s="488"/>
      <c r="L57" s="479">
        <f t="shared" si="8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9"/>
        <v/>
      </c>
      <c r="C58" s="473">
        <f>IF(D11="","-",+C57+1)</f>
        <v>2060</v>
      </c>
      <c r="D58" s="484">
        <f>IF(F57+SUM(E$17:E57)=D$10,F57,D$10-SUM(E$17:E57))</f>
        <v>704934.86157253175</v>
      </c>
      <c r="E58" s="485">
        <f t="shared" si="3"/>
        <v>218828.95348837209</v>
      </c>
      <c r="F58" s="486">
        <f t="shared" si="4"/>
        <v>486105.90808415966</v>
      </c>
      <c r="G58" s="487">
        <f t="shared" si="5"/>
        <v>287347.34653745202</v>
      </c>
      <c r="H58" s="456">
        <f t="shared" si="6"/>
        <v>287347.34653745202</v>
      </c>
      <c r="I58" s="476">
        <f t="shared" si="7"/>
        <v>0</v>
      </c>
      <c r="J58" s="476"/>
      <c r="K58" s="488"/>
      <c r="L58" s="479">
        <f t="shared" si="8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9"/>
        <v/>
      </c>
      <c r="C59" s="473">
        <f>IF(D11="","-",+C58+1)</f>
        <v>2061</v>
      </c>
      <c r="D59" s="484">
        <f>IF(F58+SUM(E$17:E58)=D$10,F58,D$10-SUM(E$17:E58))</f>
        <v>486105.90808415966</v>
      </c>
      <c r="E59" s="485">
        <f t="shared" si="3"/>
        <v>218828.95348837209</v>
      </c>
      <c r="F59" s="486">
        <f t="shared" si="4"/>
        <v>267276.95459578757</v>
      </c>
      <c r="G59" s="487">
        <f t="shared" si="5"/>
        <v>262169.68910099502</v>
      </c>
      <c r="H59" s="456">
        <f t="shared" si="6"/>
        <v>262169.68910099502</v>
      </c>
      <c r="I59" s="476">
        <f t="shared" si="7"/>
        <v>0</v>
      </c>
      <c r="J59" s="476"/>
      <c r="K59" s="488"/>
      <c r="L59" s="479">
        <f t="shared" si="8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9"/>
        <v/>
      </c>
      <c r="C60" s="473">
        <f>IF(D11="","-",+C59+1)</f>
        <v>2062</v>
      </c>
      <c r="D60" s="484">
        <f>IF(F59+SUM(E$17:E59)=D$10,F59,D$10-SUM(E$17:E59))</f>
        <v>267276.95459578757</v>
      </c>
      <c r="E60" s="485">
        <f t="shared" si="3"/>
        <v>218828.95348837209</v>
      </c>
      <c r="F60" s="486">
        <f t="shared" si="4"/>
        <v>48448.001107415475</v>
      </c>
      <c r="G60" s="487">
        <f t="shared" si="5"/>
        <v>236992.03166453808</v>
      </c>
      <c r="H60" s="456">
        <f t="shared" si="6"/>
        <v>236992.03166453808</v>
      </c>
      <c r="I60" s="476">
        <f t="shared" si="7"/>
        <v>0</v>
      </c>
      <c r="J60" s="476"/>
      <c r="K60" s="488"/>
      <c r="L60" s="479">
        <f t="shared" si="8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9"/>
        <v/>
      </c>
      <c r="C61" s="473">
        <f>IF(D11="","-",+C60+1)</f>
        <v>2063</v>
      </c>
      <c r="D61" s="484">
        <f>IF(F60+SUM(E$17:E60)=D$10,F60,D$10-SUM(E$17:E60))</f>
        <v>48448.001107415475</v>
      </c>
      <c r="E61" s="485">
        <f t="shared" si="3"/>
        <v>48448.001107415475</v>
      </c>
      <c r="F61" s="486">
        <f t="shared" si="4"/>
        <v>0</v>
      </c>
      <c r="G61" s="487">
        <f t="shared" si="5"/>
        <v>51235.125836384235</v>
      </c>
      <c r="H61" s="456">
        <f t="shared" si="6"/>
        <v>51235.125836384235</v>
      </c>
      <c r="I61" s="476">
        <f t="shared" si="7"/>
        <v>0</v>
      </c>
      <c r="J61" s="476"/>
      <c r="K61" s="488"/>
      <c r="L61" s="479">
        <f t="shared" si="8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9"/>
        <v/>
      </c>
      <c r="C62" s="473">
        <f>IF(D11="","-",+C61+1)</f>
        <v>2064</v>
      </c>
      <c r="D62" s="484">
        <f>IF(F61+SUM(E$17:E61)=D$10,F61,D$10-SUM(E$17:E61))</f>
        <v>0</v>
      </c>
      <c r="E62" s="485">
        <f t="shared" si="3"/>
        <v>0</v>
      </c>
      <c r="F62" s="486">
        <f t="shared" si="4"/>
        <v>0</v>
      </c>
      <c r="G62" s="487">
        <f t="shared" si="5"/>
        <v>0</v>
      </c>
      <c r="H62" s="456">
        <f t="shared" si="6"/>
        <v>0</v>
      </c>
      <c r="I62" s="476">
        <f t="shared" si="7"/>
        <v>0</v>
      </c>
      <c r="J62" s="476"/>
      <c r="K62" s="488"/>
      <c r="L62" s="479">
        <f t="shared" si="8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9"/>
        <v/>
      </c>
      <c r="C63" s="473">
        <f>IF(D11="","-",+C62+1)</f>
        <v>2065</v>
      </c>
      <c r="D63" s="484">
        <f>IF(F62+SUM(E$17:E62)=D$10,F62,D$10-SUM(E$17:E62))</f>
        <v>0</v>
      </c>
      <c r="E63" s="485">
        <f t="shared" si="3"/>
        <v>0</v>
      </c>
      <c r="F63" s="486">
        <f t="shared" si="4"/>
        <v>0</v>
      </c>
      <c r="G63" s="487">
        <f t="shared" si="5"/>
        <v>0</v>
      </c>
      <c r="H63" s="456">
        <f t="shared" si="6"/>
        <v>0</v>
      </c>
      <c r="I63" s="476">
        <f t="shared" si="7"/>
        <v>0</v>
      </c>
      <c r="J63" s="476"/>
      <c r="K63" s="488"/>
      <c r="L63" s="479">
        <f t="shared" si="8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9"/>
        <v/>
      </c>
      <c r="C64" s="473">
        <f>IF(D11="","-",+C63+1)</f>
        <v>2066</v>
      </c>
      <c r="D64" s="484">
        <f>IF(F63+SUM(E$17:E63)=D$10,F63,D$10-SUM(E$17:E63))</f>
        <v>0</v>
      </c>
      <c r="E64" s="485">
        <f t="shared" si="3"/>
        <v>0</v>
      </c>
      <c r="F64" s="486">
        <f t="shared" si="4"/>
        <v>0</v>
      </c>
      <c r="G64" s="487">
        <f t="shared" si="5"/>
        <v>0</v>
      </c>
      <c r="H64" s="456">
        <f t="shared" si="6"/>
        <v>0</v>
      </c>
      <c r="I64" s="476">
        <f t="shared" si="7"/>
        <v>0</v>
      </c>
      <c r="J64" s="476"/>
      <c r="K64" s="488"/>
      <c r="L64" s="479">
        <f t="shared" si="8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9"/>
        <v/>
      </c>
      <c r="C65" s="473">
        <f>IF(D11="","-",+C64+1)</f>
        <v>2067</v>
      </c>
      <c r="D65" s="484">
        <f>IF(F64+SUM(E$17:E64)=D$10,F64,D$10-SUM(E$17:E64))</f>
        <v>0</v>
      </c>
      <c r="E65" s="485">
        <f t="shared" si="3"/>
        <v>0</v>
      </c>
      <c r="F65" s="486">
        <f t="shared" si="4"/>
        <v>0</v>
      </c>
      <c r="G65" s="487">
        <f t="shared" si="5"/>
        <v>0</v>
      </c>
      <c r="H65" s="456">
        <f t="shared" si="6"/>
        <v>0</v>
      </c>
      <c r="I65" s="476">
        <f t="shared" si="7"/>
        <v>0</v>
      </c>
      <c r="J65" s="476"/>
      <c r="K65" s="488"/>
      <c r="L65" s="479">
        <f t="shared" si="8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9"/>
        <v/>
      </c>
      <c r="C66" s="473">
        <f>IF(D11="","-",+C65+1)</f>
        <v>2068</v>
      </c>
      <c r="D66" s="484">
        <f>IF(F65+SUM(E$17:E65)=D$10,F65,D$10-SUM(E$17:E65))</f>
        <v>0</v>
      </c>
      <c r="E66" s="485">
        <f t="shared" si="3"/>
        <v>0</v>
      </c>
      <c r="F66" s="486">
        <f t="shared" si="4"/>
        <v>0</v>
      </c>
      <c r="G66" s="487">
        <f t="shared" si="5"/>
        <v>0</v>
      </c>
      <c r="H66" s="456">
        <f t="shared" si="6"/>
        <v>0</v>
      </c>
      <c r="I66" s="476">
        <f t="shared" si="7"/>
        <v>0</v>
      </c>
      <c r="J66" s="476"/>
      <c r="K66" s="488"/>
      <c r="L66" s="479">
        <f t="shared" si="8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9"/>
        <v/>
      </c>
      <c r="C67" s="473">
        <f>IF(D11="","-",+C66+1)</f>
        <v>2069</v>
      </c>
      <c r="D67" s="484">
        <f>IF(F66+SUM(E$17:E66)=D$10,F66,D$10-SUM(E$17:E66))</f>
        <v>0</v>
      </c>
      <c r="E67" s="485">
        <f t="shared" si="3"/>
        <v>0</v>
      </c>
      <c r="F67" s="486">
        <f t="shared" si="4"/>
        <v>0</v>
      </c>
      <c r="G67" s="487">
        <f t="shared" si="5"/>
        <v>0</v>
      </c>
      <c r="H67" s="456">
        <f t="shared" si="6"/>
        <v>0</v>
      </c>
      <c r="I67" s="476">
        <f t="shared" si="7"/>
        <v>0</v>
      </c>
      <c r="J67" s="476"/>
      <c r="K67" s="488"/>
      <c r="L67" s="479">
        <f t="shared" si="8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9"/>
        <v/>
      </c>
      <c r="C68" s="473">
        <f>IF(D11="","-",+C67+1)</f>
        <v>2070</v>
      </c>
      <c r="D68" s="484">
        <f>IF(F67+SUM(E$17:E67)=D$10,F67,D$10-SUM(E$17:E67))</f>
        <v>0</v>
      </c>
      <c r="E68" s="485">
        <f t="shared" si="3"/>
        <v>0</v>
      </c>
      <c r="F68" s="486">
        <f t="shared" si="4"/>
        <v>0</v>
      </c>
      <c r="G68" s="487">
        <f t="shared" si="5"/>
        <v>0</v>
      </c>
      <c r="H68" s="456">
        <f t="shared" si="6"/>
        <v>0</v>
      </c>
      <c r="I68" s="476">
        <f t="shared" si="7"/>
        <v>0</v>
      </c>
      <c r="J68" s="476"/>
      <c r="K68" s="488"/>
      <c r="L68" s="479">
        <f t="shared" si="8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9"/>
        <v/>
      </c>
      <c r="C69" s="473">
        <f>IF(D11="","-",+C68+1)</f>
        <v>2071</v>
      </c>
      <c r="D69" s="484">
        <f>IF(F68+SUM(E$17:E68)=D$10,F68,D$10-SUM(E$17:E68))</f>
        <v>0</v>
      </c>
      <c r="E69" s="485">
        <f t="shared" si="3"/>
        <v>0</v>
      </c>
      <c r="F69" s="486">
        <f t="shared" si="4"/>
        <v>0</v>
      </c>
      <c r="G69" s="487">
        <f t="shared" si="5"/>
        <v>0</v>
      </c>
      <c r="H69" s="456">
        <f t="shared" si="6"/>
        <v>0</v>
      </c>
      <c r="I69" s="476">
        <f t="shared" si="7"/>
        <v>0</v>
      </c>
      <c r="J69" s="476"/>
      <c r="K69" s="488"/>
      <c r="L69" s="479">
        <f t="shared" si="8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9"/>
        <v/>
      </c>
      <c r="C70" s="473">
        <f>IF(D11="","-",+C69+1)</f>
        <v>2072</v>
      </c>
      <c r="D70" s="484">
        <f>IF(F69+SUM(E$17:E69)=D$10,F69,D$10-SUM(E$17:E69))</f>
        <v>0</v>
      </c>
      <c r="E70" s="485">
        <f t="shared" si="3"/>
        <v>0</v>
      </c>
      <c r="F70" s="486">
        <f t="shared" si="4"/>
        <v>0</v>
      </c>
      <c r="G70" s="487">
        <f t="shared" si="5"/>
        <v>0</v>
      </c>
      <c r="H70" s="456">
        <f t="shared" si="6"/>
        <v>0</v>
      </c>
      <c r="I70" s="476">
        <f t="shared" si="7"/>
        <v>0</v>
      </c>
      <c r="J70" s="476"/>
      <c r="K70" s="488"/>
      <c r="L70" s="479">
        <f t="shared" si="8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9"/>
        <v/>
      </c>
      <c r="C71" s="473">
        <f>IF(D11="","-",+C70+1)</f>
        <v>2073</v>
      </c>
      <c r="D71" s="484">
        <f>IF(F70+SUM(E$17:E70)=D$10,F70,D$10-SUM(E$17:E70))</f>
        <v>0</v>
      </c>
      <c r="E71" s="485">
        <f t="shared" si="3"/>
        <v>0</v>
      </c>
      <c r="F71" s="486">
        <f t="shared" si="4"/>
        <v>0</v>
      </c>
      <c r="G71" s="487">
        <f t="shared" si="5"/>
        <v>0</v>
      </c>
      <c r="H71" s="456">
        <f t="shared" si="6"/>
        <v>0</v>
      </c>
      <c r="I71" s="476">
        <f t="shared" si="7"/>
        <v>0</v>
      </c>
      <c r="J71" s="476"/>
      <c r="K71" s="488"/>
      <c r="L71" s="479">
        <f t="shared" si="8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9"/>
        <v/>
      </c>
      <c r="C72" s="490">
        <f>IF(D11="","-",+C71+1)</f>
        <v>2074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8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9409645</v>
      </c>
      <c r="F73" s="348"/>
      <c r="G73" s="348">
        <f>SUM(G17:G72)</f>
        <v>32897407.123928647</v>
      </c>
      <c r="H73" s="348">
        <f>SUM(H17:H72)</f>
        <v>32897407.123928647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26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934062.15757277235</v>
      </c>
      <c r="N87" s="509">
        <f>IF(J92&lt;D11,0,VLOOKUP(J92,C17:O72,11))</f>
        <v>934062.15757277235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1117542.3763000495</v>
      </c>
      <c r="N88" s="513">
        <f>IF(J92&lt;D11,0,VLOOKUP(J92,C99:P154,7))</f>
        <v>1117542.3763000495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Tulsa Southeast - E. 61st St 138 kV Rebuild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183480.21872727713</v>
      </c>
      <c r="N89" s="518">
        <f>+N88-N87</f>
        <v>183480.21872727713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TP2017011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8144614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12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189410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2019</v>
      </c>
      <c r="D99" s="585">
        <v>0</v>
      </c>
      <c r="E99" s="609">
        <v>0</v>
      </c>
      <c r="F99" s="585">
        <v>6388896</v>
      </c>
      <c r="G99" s="609">
        <v>3194448</v>
      </c>
      <c r="H99" s="588">
        <v>329392.39438521734</v>
      </c>
      <c r="I99" s="608">
        <v>329392.39438521734</v>
      </c>
      <c r="J99" s="479">
        <f>+I99-H99</f>
        <v>0</v>
      </c>
      <c r="K99" s="479"/>
      <c r="L99" s="478">
        <f>+H99</f>
        <v>329392.39438521734</v>
      </c>
      <c r="M99" s="478">
        <f t="shared" ref="M99" si="10">IF(L99&lt;&gt;0,+H99-L99,0)</f>
        <v>0</v>
      </c>
      <c r="N99" s="478">
        <f>+I99</f>
        <v>329392.39438521734</v>
      </c>
      <c r="O99" s="478">
        <f t="shared" ref="O99:O130" si="11">IF(N99&lt;&gt;0,+I99-N99,0)</f>
        <v>0</v>
      </c>
      <c r="P99" s="478">
        <f t="shared" ref="P99:P130" si="12">+O99-M99</f>
        <v>0</v>
      </c>
    </row>
    <row r="100" spans="1:16" ht="12.5">
      <c r="B100" s="160" t="str">
        <f>IF(D100=F99,"","IU")</f>
        <v>IU</v>
      </c>
      <c r="C100" s="473">
        <f>IF(D93="","-",+C99+1)</f>
        <v>2020</v>
      </c>
      <c r="D100" s="347">
        <f>IF(F99+SUM(E$99:E99)=D$92,F99,D$92-SUM(E$99:E99))</f>
        <v>8144614</v>
      </c>
      <c r="E100" s="485">
        <f>IF(+J$96&lt;F99,J$96,D100)</f>
        <v>189410</v>
      </c>
      <c r="F100" s="486">
        <f>+D100-E100</f>
        <v>7955204</v>
      </c>
      <c r="G100" s="486">
        <f>+(F100+D100)/2</f>
        <v>8049909</v>
      </c>
      <c r="H100" s="487">
        <f>(D100+F100)/2*J$94+E100</f>
        <v>1117542.3763000495</v>
      </c>
      <c r="I100" s="543">
        <f t="shared" ref="I100" si="13">+J$95*G100+E100</f>
        <v>1117542.3763000495</v>
      </c>
      <c r="J100" s="479">
        <f t="shared" ref="J100:J130" si="14">+I100-H100</f>
        <v>0</v>
      </c>
      <c r="K100" s="479"/>
      <c r="L100" s="488"/>
      <c r="M100" s="479">
        <f t="shared" ref="M100:M130" si="15">IF(L100&lt;&gt;0,+H100-L100,0)</f>
        <v>0</v>
      </c>
      <c r="N100" s="488"/>
      <c r="O100" s="479">
        <f t="shared" si="11"/>
        <v>0</v>
      </c>
      <c r="P100" s="479">
        <f t="shared" si="12"/>
        <v>0</v>
      </c>
    </row>
    <row r="101" spans="1:16" ht="12.5">
      <c r="B101" s="160" t="str">
        <f t="shared" ref="B101:B154" si="16">IF(D101=F100,"","IU")</f>
        <v/>
      </c>
      <c r="C101" s="473">
        <f>IF(D93="","-",+C100+1)</f>
        <v>2021</v>
      </c>
      <c r="D101" s="347">
        <f>IF(F100+SUM(E$99:E100)=D$92,F100,D$92-SUM(E$99:E100))</f>
        <v>7955204</v>
      </c>
      <c r="E101" s="485">
        <f t="shared" ref="E101:E154" si="17">IF(+J$96&lt;F100,J$96,D101)</f>
        <v>189410</v>
      </c>
      <c r="F101" s="486">
        <f t="shared" ref="F101:F154" si="18">+D101-E101</f>
        <v>7765794</v>
      </c>
      <c r="G101" s="486">
        <f t="shared" ref="G101:G154" si="19">+(F101+D101)/2</f>
        <v>7860499</v>
      </c>
      <c r="H101" s="487">
        <f t="shared" ref="H101:H153" si="20">(D101+F101)/2*J$94+E101</f>
        <v>1095703.9240399068</v>
      </c>
      <c r="I101" s="543">
        <f t="shared" ref="I101:I153" si="21">+J$95*G101+E101</f>
        <v>1095703.9240399068</v>
      </c>
      <c r="J101" s="479">
        <f t="shared" si="14"/>
        <v>0</v>
      </c>
      <c r="K101" s="479"/>
      <c r="L101" s="488"/>
      <c r="M101" s="479">
        <f t="shared" si="15"/>
        <v>0</v>
      </c>
      <c r="N101" s="488"/>
      <c r="O101" s="479">
        <f t="shared" si="11"/>
        <v>0</v>
      </c>
      <c r="P101" s="479">
        <f t="shared" si="12"/>
        <v>0</v>
      </c>
    </row>
    <row r="102" spans="1:16" ht="12.5">
      <c r="B102" s="160" t="str">
        <f t="shared" si="16"/>
        <v/>
      </c>
      <c r="C102" s="473">
        <f>IF(D93="","-",+C101+1)</f>
        <v>2022</v>
      </c>
      <c r="D102" s="347">
        <f>IF(F101+SUM(E$99:E101)=D$92,F101,D$92-SUM(E$99:E101))</f>
        <v>7765794</v>
      </c>
      <c r="E102" s="485">
        <f t="shared" si="17"/>
        <v>189410</v>
      </c>
      <c r="F102" s="486">
        <f t="shared" si="18"/>
        <v>7576384</v>
      </c>
      <c r="G102" s="486">
        <f t="shared" si="19"/>
        <v>7671089</v>
      </c>
      <c r="H102" s="487">
        <f t="shared" si="20"/>
        <v>1073865.4717797642</v>
      </c>
      <c r="I102" s="543">
        <f t="shared" si="21"/>
        <v>1073865.4717797642</v>
      </c>
      <c r="J102" s="479">
        <f t="shared" si="14"/>
        <v>0</v>
      </c>
      <c r="K102" s="479"/>
      <c r="L102" s="488"/>
      <c r="M102" s="479">
        <f t="shared" si="15"/>
        <v>0</v>
      </c>
      <c r="N102" s="488"/>
      <c r="O102" s="479">
        <f t="shared" si="11"/>
        <v>0</v>
      </c>
      <c r="P102" s="479">
        <f t="shared" si="12"/>
        <v>0</v>
      </c>
    </row>
    <row r="103" spans="1:16" ht="12.5">
      <c r="B103" s="160" t="str">
        <f t="shared" si="16"/>
        <v/>
      </c>
      <c r="C103" s="473">
        <f>IF(D93="","-",+C102+1)</f>
        <v>2023</v>
      </c>
      <c r="D103" s="347">
        <f>IF(F102+SUM(E$99:E102)=D$92,F102,D$92-SUM(E$99:E102))</f>
        <v>7576384</v>
      </c>
      <c r="E103" s="485">
        <f t="shared" si="17"/>
        <v>189410</v>
      </c>
      <c r="F103" s="486">
        <f t="shared" si="18"/>
        <v>7386974</v>
      </c>
      <c r="G103" s="486">
        <f t="shared" si="19"/>
        <v>7481679</v>
      </c>
      <c r="H103" s="487">
        <f t="shared" si="20"/>
        <v>1052027.0195196215</v>
      </c>
      <c r="I103" s="543">
        <f t="shared" si="21"/>
        <v>1052027.0195196215</v>
      </c>
      <c r="J103" s="479">
        <f t="shared" si="14"/>
        <v>0</v>
      </c>
      <c r="K103" s="479"/>
      <c r="L103" s="488"/>
      <c r="M103" s="479">
        <f t="shared" si="15"/>
        <v>0</v>
      </c>
      <c r="N103" s="488"/>
      <c r="O103" s="479">
        <f t="shared" si="11"/>
        <v>0</v>
      </c>
      <c r="P103" s="479">
        <f t="shared" si="12"/>
        <v>0</v>
      </c>
    </row>
    <row r="104" spans="1:16" ht="12.5">
      <c r="B104" s="160" t="str">
        <f t="shared" si="16"/>
        <v/>
      </c>
      <c r="C104" s="473">
        <f>IF(D93="","-",+C103+1)</f>
        <v>2024</v>
      </c>
      <c r="D104" s="347">
        <f>IF(F103+SUM(E$99:E103)=D$92,F103,D$92-SUM(E$99:E103))</f>
        <v>7386974</v>
      </c>
      <c r="E104" s="485">
        <f t="shared" si="17"/>
        <v>189410</v>
      </c>
      <c r="F104" s="486">
        <f t="shared" si="18"/>
        <v>7197564</v>
      </c>
      <c r="G104" s="486">
        <f t="shared" si="19"/>
        <v>7292269</v>
      </c>
      <c r="H104" s="487">
        <f t="shared" si="20"/>
        <v>1030188.5672594788</v>
      </c>
      <c r="I104" s="543">
        <f t="shared" si="21"/>
        <v>1030188.5672594788</v>
      </c>
      <c r="J104" s="479">
        <f t="shared" si="14"/>
        <v>0</v>
      </c>
      <c r="K104" s="479"/>
      <c r="L104" s="488"/>
      <c r="M104" s="479">
        <f t="shared" si="15"/>
        <v>0</v>
      </c>
      <c r="N104" s="488"/>
      <c r="O104" s="479">
        <f t="shared" si="11"/>
        <v>0</v>
      </c>
      <c r="P104" s="479">
        <f t="shared" si="12"/>
        <v>0</v>
      </c>
    </row>
    <row r="105" spans="1:16" ht="12.5">
      <c r="B105" s="160" t="str">
        <f t="shared" si="16"/>
        <v/>
      </c>
      <c r="C105" s="473">
        <f>IF(D93="","-",+C104+1)</f>
        <v>2025</v>
      </c>
      <c r="D105" s="347">
        <f>IF(F104+SUM(E$99:E104)=D$92,F104,D$92-SUM(E$99:E104))</f>
        <v>7197564</v>
      </c>
      <c r="E105" s="485">
        <f t="shared" si="17"/>
        <v>189410</v>
      </c>
      <c r="F105" s="486">
        <f t="shared" si="18"/>
        <v>7008154</v>
      </c>
      <c r="G105" s="486">
        <f t="shared" si="19"/>
        <v>7102859</v>
      </c>
      <c r="H105" s="487">
        <f t="shared" si="20"/>
        <v>1008350.1149993363</v>
      </c>
      <c r="I105" s="543">
        <f t="shared" si="21"/>
        <v>1008350.1149993363</v>
      </c>
      <c r="J105" s="479">
        <f t="shared" si="14"/>
        <v>0</v>
      </c>
      <c r="K105" s="479"/>
      <c r="L105" s="488"/>
      <c r="M105" s="479">
        <f t="shared" si="15"/>
        <v>0</v>
      </c>
      <c r="N105" s="488"/>
      <c r="O105" s="479">
        <f t="shared" si="11"/>
        <v>0</v>
      </c>
      <c r="P105" s="479">
        <f t="shared" si="12"/>
        <v>0</v>
      </c>
    </row>
    <row r="106" spans="1:16" ht="12.5">
      <c r="B106" s="160" t="str">
        <f t="shared" si="16"/>
        <v/>
      </c>
      <c r="C106" s="473">
        <f>IF(D93="","-",+C105+1)</f>
        <v>2026</v>
      </c>
      <c r="D106" s="347">
        <f>IF(F105+SUM(E$99:E105)=D$92,F105,D$92-SUM(E$99:E105))</f>
        <v>7008154</v>
      </c>
      <c r="E106" s="485">
        <f t="shared" si="17"/>
        <v>189410</v>
      </c>
      <c r="F106" s="486">
        <f t="shared" si="18"/>
        <v>6818744</v>
      </c>
      <c r="G106" s="486">
        <f t="shared" si="19"/>
        <v>6913449</v>
      </c>
      <c r="H106" s="487">
        <f t="shared" si="20"/>
        <v>986511.66273919365</v>
      </c>
      <c r="I106" s="543">
        <f t="shared" si="21"/>
        <v>986511.66273919365</v>
      </c>
      <c r="J106" s="479">
        <f t="shared" si="14"/>
        <v>0</v>
      </c>
      <c r="K106" s="479"/>
      <c r="L106" s="488"/>
      <c r="M106" s="479">
        <f t="shared" si="15"/>
        <v>0</v>
      </c>
      <c r="N106" s="488"/>
      <c r="O106" s="479">
        <f t="shared" si="11"/>
        <v>0</v>
      </c>
      <c r="P106" s="479">
        <f t="shared" si="12"/>
        <v>0</v>
      </c>
    </row>
    <row r="107" spans="1:16" ht="12.5">
      <c r="B107" s="160" t="str">
        <f t="shared" si="16"/>
        <v/>
      </c>
      <c r="C107" s="473">
        <f>IF(D93="","-",+C106+1)</f>
        <v>2027</v>
      </c>
      <c r="D107" s="347">
        <f>IF(F106+SUM(E$99:E106)=D$92,F106,D$92-SUM(E$99:E106))</f>
        <v>6818744</v>
      </c>
      <c r="E107" s="485">
        <f t="shared" si="17"/>
        <v>189410</v>
      </c>
      <c r="F107" s="486">
        <f t="shared" si="18"/>
        <v>6629334</v>
      </c>
      <c r="G107" s="486">
        <f t="shared" si="19"/>
        <v>6724039</v>
      </c>
      <c r="H107" s="487">
        <f t="shared" si="20"/>
        <v>964673.21047905111</v>
      </c>
      <c r="I107" s="543">
        <f t="shared" si="21"/>
        <v>964673.21047905111</v>
      </c>
      <c r="J107" s="479">
        <f t="shared" si="14"/>
        <v>0</v>
      </c>
      <c r="K107" s="479"/>
      <c r="L107" s="488"/>
      <c r="M107" s="479">
        <f t="shared" si="15"/>
        <v>0</v>
      </c>
      <c r="N107" s="488"/>
      <c r="O107" s="479">
        <f t="shared" si="11"/>
        <v>0</v>
      </c>
      <c r="P107" s="479">
        <f t="shared" si="12"/>
        <v>0</v>
      </c>
    </row>
    <row r="108" spans="1:16" ht="12.5">
      <c r="B108" s="160" t="str">
        <f t="shared" si="16"/>
        <v/>
      </c>
      <c r="C108" s="473">
        <f>IF(D93="","-",+C107+1)</f>
        <v>2028</v>
      </c>
      <c r="D108" s="347">
        <f>IF(F107+SUM(E$99:E107)=D$92,F107,D$92-SUM(E$99:E107))</f>
        <v>6629334</v>
      </c>
      <c r="E108" s="485">
        <f t="shared" si="17"/>
        <v>189410</v>
      </c>
      <c r="F108" s="486">
        <f t="shared" si="18"/>
        <v>6439924</v>
      </c>
      <c r="G108" s="486">
        <f t="shared" si="19"/>
        <v>6534629</v>
      </c>
      <c r="H108" s="487">
        <f t="shared" si="20"/>
        <v>942834.75821890845</v>
      </c>
      <c r="I108" s="543">
        <f t="shared" si="21"/>
        <v>942834.75821890845</v>
      </c>
      <c r="J108" s="479">
        <f t="shared" si="14"/>
        <v>0</v>
      </c>
      <c r="K108" s="479"/>
      <c r="L108" s="488"/>
      <c r="M108" s="479">
        <f t="shared" si="15"/>
        <v>0</v>
      </c>
      <c r="N108" s="488"/>
      <c r="O108" s="479">
        <f t="shared" si="11"/>
        <v>0</v>
      </c>
      <c r="P108" s="479">
        <f t="shared" si="12"/>
        <v>0</v>
      </c>
    </row>
    <row r="109" spans="1:16" ht="12.5">
      <c r="B109" s="160" t="str">
        <f t="shared" si="16"/>
        <v/>
      </c>
      <c r="C109" s="473">
        <f>IF(D93="","-",+C108+1)</f>
        <v>2029</v>
      </c>
      <c r="D109" s="347">
        <f>IF(F108+SUM(E$99:E108)=D$92,F108,D$92-SUM(E$99:E108))</f>
        <v>6439924</v>
      </c>
      <c r="E109" s="485">
        <f t="shared" si="17"/>
        <v>189410</v>
      </c>
      <c r="F109" s="486">
        <f t="shared" si="18"/>
        <v>6250514</v>
      </c>
      <c r="G109" s="486">
        <f t="shared" si="19"/>
        <v>6345219</v>
      </c>
      <c r="H109" s="487">
        <f t="shared" si="20"/>
        <v>920996.30595876579</v>
      </c>
      <c r="I109" s="543">
        <f t="shared" si="21"/>
        <v>920996.30595876579</v>
      </c>
      <c r="J109" s="479">
        <f t="shared" si="14"/>
        <v>0</v>
      </c>
      <c r="K109" s="479"/>
      <c r="L109" s="488"/>
      <c r="M109" s="479">
        <f t="shared" si="15"/>
        <v>0</v>
      </c>
      <c r="N109" s="488"/>
      <c r="O109" s="479">
        <f t="shared" si="11"/>
        <v>0</v>
      </c>
      <c r="P109" s="479">
        <f t="shared" si="12"/>
        <v>0</v>
      </c>
    </row>
    <row r="110" spans="1:16" ht="12.5">
      <c r="B110" s="160" t="str">
        <f t="shared" si="16"/>
        <v/>
      </c>
      <c r="C110" s="473">
        <f>IF(D93="","-",+C109+1)</f>
        <v>2030</v>
      </c>
      <c r="D110" s="347">
        <f>IF(F109+SUM(E$99:E109)=D$92,F109,D$92-SUM(E$99:E109))</f>
        <v>6250514</v>
      </c>
      <c r="E110" s="485">
        <f t="shared" si="17"/>
        <v>189410</v>
      </c>
      <c r="F110" s="486">
        <f t="shared" si="18"/>
        <v>6061104</v>
      </c>
      <c r="G110" s="486">
        <f t="shared" si="19"/>
        <v>6155809</v>
      </c>
      <c r="H110" s="487">
        <f t="shared" si="20"/>
        <v>899157.85369862325</v>
      </c>
      <c r="I110" s="543">
        <f t="shared" si="21"/>
        <v>899157.85369862325</v>
      </c>
      <c r="J110" s="479">
        <f t="shared" si="14"/>
        <v>0</v>
      </c>
      <c r="K110" s="479"/>
      <c r="L110" s="488"/>
      <c r="M110" s="479">
        <f t="shared" si="15"/>
        <v>0</v>
      </c>
      <c r="N110" s="488"/>
      <c r="O110" s="479">
        <f t="shared" si="11"/>
        <v>0</v>
      </c>
      <c r="P110" s="479">
        <f t="shared" si="12"/>
        <v>0</v>
      </c>
    </row>
    <row r="111" spans="1:16" ht="12.5">
      <c r="B111" s="160" t="str">
        <f t="shared" si="16"/>
        <v/>
      </c>
      <c r="C111" s="473">
        <f>IF(D93="","-",+C110+1)</f>
        <v>2031</v>
      </c>
      <c r="D111" s="347">
        <f>IF(F110+SUM(E$99:E110)=D$92,F110,D$92-SUM(E$99:E110))</f>
        <v>6061104</v>
      </c>
      <c r="E111" s="485">
        <f t="shared" si="17"/>
        <v>189410</v>
      </c>
      <c r="F111" s="486">
        <f t="shared" si="18"/>
        <v>5871694</v>
      </c>
      <c r="G111" s="486">
        <f t="shared" si="19"/>
        <v>5966399</v>
      </c>
      <c r="H111" s="487">
        <f t="shared" si="20"/>
        <v>877319.40143848059</v>
      </c>
      <c r="I111" s="543">
        <f t="shared" si="21"/>
        <v>877319.40143848059</v>
      </c>
      <c r="J111" s="479">
        <f t="shared" si="14"/>
        <v>0</v>
      </c>
      <c r="K111" s="479"/>
      <c r="L111" s="488"/>
      <c r="M111" s="479">
        <f t="shared" si="15"/>
        <v>0</v>
      </c>
      <c r="N111" s="488"/>
      <c r="O111" s="479">
        <f t="shared" si="11"/>
        <v>0</v>
      </c>
      <c r="P111" s="479">
        <f t="shared" si="12"/>
        <v>0</v>
      </c>
    </row>
    <row r="112" spans="1:16" ht="12.5">
      <c r="B112" s="160" t="str">
        <f t="shared" si="16"/>
        <v/>
      </c>
      <c r="C112" s="473">
        <f>IF(D93="","-",+C111+1)</f>
        <v>2032</v>
      </c>
      <c r="D112" s="347">
        <f>IF(F111+SUM(E$99:E111)=D$92,F111,D$92-SUM(E$99:E111))</f>
        <v>5871694</v>
      </c>
      <c r="E112" s="485">
        <f t="shared" si="17"/>
        <v>189410</v>
      </c>
      <c r="F112" s="486">
        <f t="shared" si="18"/>
        <v>5682284</v>
      </c>
      <c r="G112" s="486">
        <f t="shared" si="19"/>
        <v>5776989</v>
      </c>
      <c r="H112" s="487">
        <f t="shared" si="20"/>
        <v>855480.94917833805</v>
      </c>
      <c r="I112" s="543">
        <f t="shared" si="21"/>
        <v>855480.94917833805</v>
      </c>
      <c r="J112" s="479">
        <f t="shared" si="14"/>
        <v>0</v>
      </c>
      <c r="K112" s="479"/>
      <c r="L112" s="488"/>
      <c r="M112" s="479">
        <f t="shared" si="15"/>
        <v>0</v>
      </c>
      <c r="N112" s="488"/>
      <c r="O112" s="479">
        <f t="shared" si="11"/>
        <v>0</v>
      </c>
      <c r="P112" s="479">
        <f t="shared" si="12"/>
        <v>0</v>
      </c>
    </row>
    <row r="113" spans="2:16" ht="12.5">
      <c r="B113" s="160" t="str">
        <f t="shared" si="16"/>
        <v/>
      </c>
      <c r="C113" s="473">
        <f>IF(D93="","-",+C112+1)</f>
        <v>2033</v>
      </c>
      <c r="D113" s="347">
        <f>IF(F112+SUM(E$99:E112)=D$92,F112,D$92-SUM(E$99:E112))</f>
        <v>5682284</v>
      </c>
      <c r="E113" s="485">
        <f t="shared" si="17"/>
        <v>189410</v>
      </c>
      <c r="F113" s="486">
        <f t="shared" si="18"/>
        <v>5492874</v>
      </c>
      <c r="G113" s="486">
        <f t="shared" si="19"/>
        <v>5587579</v>
      </c>
      <c r="H113" s="487">
        <f t="shared" si="20"/>
        <v>833642.49691819539</v>
      </c>
      <c r="I113" s="543">
        <f t="shared" si="21"/>
        <v>833642.49691819539</v>
      </c>
      <c r="J113" s="479">
        <f t="shared" si="14"/>
        <v>0</v>
      </c>
      <c r="K113" s="479"/>
      <c r="L113" s="488"/>
      <c r="M113" s="479">
        <f t="shared" si="15"/>
        <v>0</v>
      </c>
      <c r="N113" s="488"/>
      <c r="O113" s="479">
        <f t="shared" si="11"/>
        <v>0</v>
      </c>
      <c r="P113" s="479">
        <f t="shared" si="12"/>
        <v>0</v>
      </c>
    </row>
    <row r="114" spans="2:16" ht="12.5">
      <c r="B114" s="160" t="str">
        <f t="shared" si="16"/>
        <v/>
      </c>
      <c r="C114" s="473">
        <f>IF(D93="","-",+C113+1)</f>
        <v>2034</v>
      </c>
      <c r="D114" s="347">
        <f>IF(F113+SUM(E$99:E113)=D$92,F113,D$92-SUM(E$99:E113))</f>
        <v>5492874</v>
      </c>
      <c r="E114" s="485">
        <f t="shared" si="17"/>
        <v>189410</v>
      </c>
      <c r="F114" s="486">
        <f t="shared" si="18"/>
        <v>5303464</v>
      </c>
      <c r="G114" s="486">
        <f t="shared" si="19"/>
        <v>5398169</v>
      </c>
      <c r="H114" s="487">
        <f t="shared" si="20"/>
        <v>811804.04465805274</v>
      </c>
      <c r="I114" s="543">
        <f t="shared" si="21"/>
        <v>811804.04465805274</v>
      </c>
      <c r="J114" s="479">
        <f t="shared" si="14"/>
        <v>0</v>
      </c>
      <c r="K114" s="479"/>
      <c r="L114" s="488"/>
      <c r="M114" s="479">
        <f t="shared" si="15"/>
        <v>0</v>
      </c>
      <c r="N114" s="488"/>
      <c r="O114" s="479">
        <f t="shared" si="11"/>
        <v>0</v>
      </c>
      <c r="P114" s="479">
        <f t="shared" si="12"/>
        <v>0</v>
      </c>
    </row>
    <row r="115" spans="2:16" ht="12.5">
      <c r="B115" s="160" t="str">
        <f t="shared" si="16"/>
        <v/>
      </c>
      <c r="C115" s="473">
        <f>IF(D93="","-",+C114+1)</f>
        <v>2035</v>
      </c>
      <c r="D115" s="347">
        <f>IF(F114+SUM(E$99:E114)=D$92,F114,D$92-SUM(E$99:E114))</f>
        <v>5303464</v>
      </c>
      <c r="E115" s="485">
        <f t="shared" si="17"/>
        <v>189410</v>
      </c>
      <c r="F115" s="486">
        <f t="shared" si="18"/>
        <v>5114054</v>
      </c>
      <c r="G115" s="486">
        <f t="shared" si="19"/>
        <v>5208759</v>
      </c>
      <c r="H115" s="487">
        <f t="shared" si="20"/>
        <v>789965.59239791019</v>
      </c>
      <c r="I115" s="543">
        <f t="shared" si="21"/>
        <v>789965.59239791019</v>
      </c>
      <c r="J115" s="479">
        <f t="shared" si="14"/>
        <v>0</v>
      </c>
      <c r="K115" s="479"/>
      <c r="L115" s="488"/>
      <c r="M115" s="479">
        <f t="shared" si="15"/>
        <v>0</v>
      </c>
      <c r="N115" s="488"/>
      <c r="O115" s="479">
        <f t="shared" si="11"/>
        <v>0</v>
      </c>
      <c r="P115" s="479">
        <f t="shared" si="12"/>
        <v>0</v>
      </c>
    </row>
    <row r="116" spans="2:16" ht="12.5">
      <c r="B116" s="160" t="str">
        <f t="shared" si="16"/>
        <v/>
      </c>
      <c r="C116" s="473">
        <f>IF(D93="","-",+C115+1)</f>
        <v>2036</v>
      </c>
      <c r="D116" s="347">
        <f>IF(F115+SUM(E$99:E115)=D$92,F115,D$92-SUM(E$99:E115))</f>
        <v>5114054</v>
      </c>
      <c r="E116" s="485">
        <f t="shared" si="17"/>
        <v>189410</v>
      </c>
      <c r="F116" s="486">
        <f t="shared" si="18"/>
        <v>4924644</v>
      </c>
      <c r="G116" s="486">
        <f t="shared" si="19"/>
        <v>5019349</v>
      </c>
      <c r="H116" s="487">
        <f t="shared" si="20"/>
        <v>768127.14013776754</v>
      </c>
      <c r="I116" s="543">
        <f t="shared" si="21"/>
        <v>768127.14013776754</v>
      </c>
      <c r="J116" s="479">
        <f t="shared" si="14"/>
        <v>0</v>
      </c>
      <c r="K116" s="479"/>
      <c r="L116" s="488"/>
      <c r="M116" s="479">
        <f t="shared" si="15"/>
        <v>0</v>
      </c>
      <c r="N116" s="488"/>
      <c r="O116" s="479">
        <f t="shared" si="11"/>
        <v>0</v>
      </c>
      <c r="P116" s="479">
        <f t="shared" si="12"/>
        <v>0</v>
      </c>
    </row>
    <row r="117" spans="2:16" ht="12.5">
      <c r="B117" s="160" t="str">
        <f t="shared" si="16"/>
        <v/>
      </c>
      <c r="C117" s="473">
        <f>IF(D93="","-",+C116+1)</f>
        <v>2037</v>
      </c>
      <c r="D117" s="347">
        <f>IF(F116+SUM(E$99:E116)=D$92,F116,D$92-SUM(E$99:E116))</f>
        <v>4924644</v>
      </c>
      <c r="E117" s="485">
        <f t="shared" si="17"/>
        <v>189410</v>
      </c>
      <c r="F117" s="486">
        <f t="shared" si="18"/>
        <v>4735234</v>
      </c>
      <c r="G117" s="486">
        <f t="shared" si="19"/>
        <v>4829939</v>
      </c>
      <c r="H117" s="487">
        <f t="shared" si="20"/>
        <v>746288.68787762499</v>
      </c>
      <c r="I117" s="543">
        <f t="shared" si="21"/>
        <v>746288.68787762499</v>
      </c>
      <c r="J117" s="479">
        <f t="shared" si="14"/>
        <v>0</v>
      </c>
      <c r="K117" s="479"/>
      <c r="L117" s="488"/>
      <c r="M117" s="479">
        <f t="shared" si="15"/>
        <v>0</v>
      </c>
      <c r="N117" s="488"/>
      <c r="O117" s="479">
        <f t="shared" si="11"/>
        <v>0</v>
      </c>
      <c r="P117" s="479">
        <f t="shared" si="12"/>
        <v>0</v>
      </c>
    </row>
    <row r="118" spans="2:16" ht="12.5">
      <c r="B118" s="160" t="str">
        <f t="shared" si="16"/>
        <v/>
      </c>
      <c r="C118" s="473">
        <f>IF(D93="","-",+C117+1)</f>
        <v>2038</v>
      </c>
      <c r="D118" s="347">
        <f>IF(F117+SUM(E$99:E117)=D$92,F117,D$92-SUM(E$99:E117))</f>
        <v>4735234</v>
      </c>
      <c r="E118" s="485">
        <f t="shared" si="17"/>
        <v>189410</v>
      </c>
      <c r="F118" s="486">
        <f t="shared" si="18"/>
        <v>4545824</v>
      </c>
      <c r="G118" s="486">
        <f t="shared" si="19"/>
        <v>4640529</v>
      </c>
      <c r="H118" s="487">
        <f t="shared" si="20"/>
        <v>724450.23561748234</v>
      </c>
      <c r="I118" s="543">
        <f t="shared" si="21"/>
        <v>724450.23561748234</v>
      </c>
      <c r="J118" s="479">
        <f t="shared" si="14"/>
        <v>0</v>
      </c>
      <c r="K118" s="479"/>
      <c r="L118" s="488"/>
      <c r="M118" s="479">
        <f t="shared" si="15"/>
        <v>0</v>
      </c>
      <c r="N118" s="488"/>
      <c r="O118" s="479">
        <f t="shared" si="11"/>
        <v>0</v>
      </c>
      <c r="P118" s="479">
        <f t="shared" si="12"/>
        <v>0</v>
      </c>
    </row>
    <row r="119" spans="2:16" ht="12.5">
      <c r="B119" s="160" t="str">
        <f t="shared" si="16"/>
        <v/>
      </c>
      <c r="C119" s="473">
        <f>IF(D93="","-",+C118+1)</f>
        <v>2039</v>
      </c>
      <c r="D119" s="347">
        <f>IF(F118+SUM(E$99:E118)=D$92,F118,D$92-SUM(E$99:E118))</f>
        <v>4545824</v>
      </c>
      <c r="E119" s="485">
        <f t="shared" si="17"/>
        <v>189410</v>
      </c>
      <c r="F119" s="486">
        <f t="shared" si="18"/>
        <v>4356414</v>
      </c>
      <c r="G119" s="486">
        <f t="shared" si="19"/>
        <v>4451119</v>
      </c>
      <c r="H119" s="487">
        <f t="shared" si="20"/>
        <v>702611.78335733968</v>
      </c>
      <c r="I119" s="543">
        <f t="shared" si="21"/>
        <v>702611.78335733968</v>
      </c>
      <c r="J119" s="479">
        <f t="shared" si="14"/>
        <v>0</v>
      </c>
      <c r="K119" s="479"/>
      <c r="L119" s="488"/>
      <c r="M119" s="479">
        <f t="shared" si="15"/>
        <v>0</v>
      </c>
      <c r="N119" s="488"/>
      <c r="O119" s="479">
        <f t="shared" si="11"/>
        <v>0</v>
      </c>
      <c r="P119" s="479">
        <f t="shared" si="12"/>
        <v>0</v>
      </c>
    </row>
    <row r="120" spans="2:16" ht="12.5">
      <c r="B120" s="160" t="str">
        <f t="shared" si="16"/>
        <v/>
      </c>
      <c r="C120" s="473">
        <f>IF(D93="","-",+C119+1)</f>
        <v>2040</v>
      </c>
      <c r="D120" s="347">
        <f>IF(F119+SUM(E$99:E119)=D$92,F119,D$92-SUM(E$99:E119))</f>
        <v>4356414</v>
      </c>
      <c r="E120" s="485">
        <f t="shared" si="17"/>
        <v>189410</v>
      </c>
      <c r="F120" s="486">
        <f t="shared" si="18"/>
        <v>4167004</v>
      </c>
      <c r="G120" s="486">
        <f t="shared" si="19"/>
        <v>4261709</v>
      </c>
      <c r="H120" s="487">
        <f t="shared" si="20"/>
        <v>680773.33109719714</v>
      </c>
      <c r="I120" s="543">
        <f t="shared" si="21"/>
        <v>680773.33109719714</v>
      </c>
      <c r="J120" s="479">
        <f t="shared" si="14"/>
        <v>0</v>
      </c>
      <c r="K120" s="479"/>
      <c r="L120" s="488"/>
      <c r="M120" s="479">
        <f t="shared" si="15"/>
        <v>0</v>
      </c>
      <c r="N120" s="488"/>
      <c r="O120" s="479">
        <f t="shared" si="11"/>
        <v>0</v>
      </c>
      <c r="P120" s="479">
        <f t="shared" si="12"/>
        <v>0</v>
      </c>
    </row>
    <row r="121" spans="2:16" ht="12.5">
      <c r="B121" s="160" t="str">
        <f t="shared" si="16"/>
        <v/>
      </c>
      <c r="C121" s="473">
        <f>IF(D93="","-",+C120+1)</f>
        <v>2041</v>
      </c>
      <c r="D121" s="347">
        <f>IF(F120+SUM(E$99:E120)=D$92,F120,D$92-SUM(E$99:E120))</f>
        <v>4167004</v>
      </c>
      <c r="E121" s="485">
        <f t="shared" si="17"/>
        <v>189410</v>
      </c>
      <c r="F121" s="486">
        <f t="shared" si="18"/>
        <v>3977594</v>
      </c>
      <c r="G121" s="486">
        <f t="shared" si="19"/>
        <v>4072299</v>
      </c>
      <c r="H121" s="487">
        <f t="shared" si="20"/>
        <v>658934.8788370546</v>
      </c>
      <c r="I121" s="543">
        <f t="shared" si="21"/>
        <v>658934.8788370546</v>
      </c>
      <c r="J121" s="479">
        <f t="shared" si="14"/>
        <v>0</v>
      </c>
      <c r="K121" s="479"/>
      <c r="L121" s="488"/>
      <c r="M121" s="479">
        <f t="shared" si="15"/>
        <v>0</v>
      </c>
      <c r="N121" s="488"/>
      <c r="O121" s="479">
        <f t="shared" si="11"/>
        <v>0</v>
      </c>
      <c r="P121" s="479">
        <f t="shared" si="12"/>
        <v>0</v>
      </c>
    </row>
    <row r="122" spans="2:16" ht="12.5">
      <c r="B122" s="160" t="str">
        <f t="shared" si="16"/>
        <v/>
      </c>
      <c r="C122" s="473">
        <f>IF(D93="","-",+C121+1)</f>
        <v>2042</v>
      </c>
      <c r="D122" s="347">
        <f>IF(F121+SUM(E$99:E121)=D$92,F121,D$92-SUM(E$99:E121))</f>
        <v>3977594</v>
      </c>
      <c r="E122" s="485">
        <f t="shared" si="17"/>
        <v>189410</v>
      </c>
      <c r="F122" s="486">
        <f t="shared" si="18"/>
        <v>3788184</v>
      </c>
      <c r="G122" s="486">
        <f t="shared" si="19"/>
        <v>3882889</v>
      </c>
      <c r="H122" s="487">
        <f t="shared" si="20"/>
        <v>637096.42657691194</v>
      </c>
      <c r="I122" s="543">
        <f t="shared" si="21"/>
        <v>637096.42657691194</v>
      </c>
      <c r="J122" s="479">
        <f t="shared" si="14"/>
        <v>0</v>
      </c>
      <c r="K122" s="479"/>
      <c r="L122" s="488"/>
      <c r="M122" s="479">
        <f t="shared" si="15"/>
        <v>0</v>
      </c>
      <c r="N122" s="488"/>
      <c r="O122" s="479">
        <f t="shared" si="11"/>
        <v>0</v>
      </c>
      <c r="P122" s="479">
        <f t="shared" si="12"/>
        <v>0</v>
      </c>
    </row>
    <row r="123" spans="2:16" ht="12.5">
      <c r="B123" s="160" t="str">
        <f t="shared" si="16"/>
        <v/>
      </c>
      <c r="C123" s="473">
        <f>IF(D93="","-",+C122+1)</f>
        <v>2043</v>
      </c>
      <c r="D123" s="347">
        <f>IF(F122+SUM(E$99:E122)=D$92,F122,D$92-SUM(E$99:E122))</f>
        <v>3788184</v>
      </c>
      <c r="E123" s="485">
        <f t="shared" si="17"/>
        <v>189410</v>
      </c>
      <c r="F123" s="486">
        <f t="shared" si="18"/>
        <v>3598774</v>
      </c>
      <c r="G123" s="486">
        <f t="shared" si="19"/>
        <v>3693479</v>
      </c>
      <c r="H123" s="487">
        <f t="shared" si="20"/>
        <v>615257.97431676928</v>
      </c>
      <c r="I123" s="543">
        <f t="shared" si="21"/>
        <v>615257.97431676928</v>
      </c>
      <c r="J123" s="479">
        <f t="shared" si="14"/>
        <v>0</v>
      </c>
      <c r="K123" s="479"/>
      <c r="L123" s="488"/>
      <c r="M123" s="479">
        <f t="shared" si="15"/>
        <v>0</v>
      </c>
      <c r="N123" s="488"/>
      <c r="O123" s="479">
        <f t="shared" si="11"/>
        <v>0</v>
      </c>
      <c r="P123" s="479">
        <f t="shared" si="12"/>
        <v>0</v>
      </c>
    </row>
    <row r="124" spans="2:16" ht="12.5">
      <c r="B124" s="160" t="str">
        <f t="shared" si="16"/>
        <v/>
      </c>
      <c r="C124" s="473">
        <f>IF(D93="","-",+C123+1)</f>
        <v>2044</v>
      </c>
      <c r="D124" s="347">
        <f>IF(F123+SUM(E$99:E123)=D$92,F123,D$92-SUM(E$99:E123))</f>
        <v>3598774</v>
      </c>
      <c r="E124" s="485">
        <f t="shared" si="17"/>
        <v>189410</v>
      </c>
      <c r="F124" s="486">
        <f t="shared" si="18"/>
        <v>3409364</v>
      </c>
      <c r="G124" s="486">
        <f t="shared" si="19"/>
        <v>3504069</v>
      </c>
      <c r="H124" s="487">
        <f t="shared" si="20"/>
        <v>593419.52205662662</v>
      </c>
      <c r="I124" s="543">
        <f t="shared" si="21"/>
        <v>593419.52205662662</v>
      </c>
      <c r="J124" s="479">
        <f t="shared" si="14"/>
        <v>0</v>
      </c>
      <c r="K124" s="479"/>
      <c r="L124" s="488"/>
      <c r="M124" s="479">
        <f t="shared" si="15"/>
        <v>0</v>
      </c>
      <c r="N124" s="488"/>
      <c r="O124" s="479">
        <f t="shared" si="11"/>
        <v>0</v>
      </c>
      <c r="P124" s="479">
        <f t="shared" si="12"/>
        <v>0</v>
      </c>
    </row>
    <row r="125" spans="2:16" ht="12.5">
      <c r="B125" s="160" t="str">
        <f t="shared" si="16"/>
        <v/>
      </c>
      <c r="C125" s="473">
        <f>IF(D93="","-",+C124+1)</f>
        <v>2045</v>
      </c>
      <c r="D125" s="347">
        <f>IF(F124+SUM(E$99:E124)=D$92,F124,D$92-SUM(E$99:E124))</f>
        <v>3409364</v>
      </c>
      <c r="E125" s="485">
        <f t="shared" si="17"/>
        <v>189410</v>
      </c>
      <c r="F125" s="486">
        <f t="shared" si="18"/>
        <v>3219954</v>
      </c>
      <c r="G125" s="486">
        <f t="shared" si="19"/>
        <v>3314659</v>
      </c>
      <c r="H125" s="487">
        <f t="shared" si="20"/>
        <v>571581.06979648408</v>
      </c>
      <c r="I125" s="543">
        <f t="shared" si="21"/>
        <v>571581.06979648408</v>
      </c>
      <c r="J125" s="479">
        <f t="shared" si="14"/>
        <v>0</v>
      </c>
      <c r="K125" s="479"/>
      <c r="L125" s="488"/>
      <c r="M125" s="479">
        <f t="shared" si="15"/>
        <v>0</v>
      </c>
      <c r="N125" s="488"/>
      <c r="O125" s="479">
        <f t="shared" si="11"/>
        <v>0</v>
      </c>
      <c r="P125" s="479">
        <f t="shared" si="12"/>
        <v>0</v>
      </c>
    </row>
    <row r="126" spans="2:16" ht="12.5">
      <c r="B126" s="160" t="str">
        <f t="shared" si="16"/>
        <v/>
      </c>
      <c r="C126" s="473">
        <f>IF(D93="","-",+C125+1)</f>
        <v>2046</v>
      </c>
      <c r="D126" s="347">
        <f>IF(F125+SUM(E$99:E125)=D$92,F125,D$92-SUM(E$99:E125))</f>
        <v>3219954</v>
      </c>
      <c r="E126" s="485">
        <f t="shared" si="17"/>
        <v>189410</v>
      </c>
      <c r="F126" s="486">
        <f t="shared" si="18"/>
        <v>3030544</v>
      </c>
      <c r="G126" s="486">
        <f t="shared" si="19"/>
        <v>3125249</v>
      </c>
      <c r="H126" s="487">
        <f t="shared" si="20"/>
        <v>549742.61753634154</v>
      </c>
      <c r="I126" s="543">
        <f t="shared" si="21"/>
        <v>549742.61753634154</v>
      </c>
      <c r="J126" s="479">
        <f t="shared" si="14"/>
        <v>0</v>
      </c>
      <c r="K126" s="479"/>
      <c r="L126" s="488"/>
      <c r="M126" s="479">
        <f t="shared" si="15"/>
        <v>0</v>
      </c>
      <c r="N126" s="488"/>
      <c r="O126" s="479">
        <f t="shared" si="11"/>
        <v>0</v>
      </c>
      <c r="P126" s="479">
        <f t="shared" si="12"/>
        <v>0</v>
      </c>
    </row>
    <row r="127" spans="2:16" ht="12.5">
      <c r="B127" s="160" t="str">
        <f t="shared" si="16"/>
        <v/>
      </c>
      <c r="C127" s="473">
        <f>IF(D93="","-",+C126+1)</f>
        <v>2047</v>
      </c>
      <c r="D127" s="347">
        <f>IF(F126+SUM(E$99:E126)=D$92,F126,D$92-SUM(E$99:E126))</f>
        <v>3030544</v>
      </c>
      <c r="E127" s="485">
        <f t="shared" si="17"/>
        <v>189410</v>
      </c>
      <c r="F127" s="486">
        <f t="shared" si="18"/>
        <v>2841134</v>
      </c>
      <c r="G127" s="486">
        <f t="shared" si="19"/>
        <v>2935839</v>
      </c>
      <c r="H127" s="487">
        <f t="shared" si="20"/>
        <v>527904.16527619888</v>
      </c>
      <c r="I127" s="543">
        <f t="shared" si="21"/>
        <v>527904.16527619888</v>
      </c>
      <c r="J127" s="479">
        <f t="shared" si="14"/>
        <v>0</v>
      </c>
      <c r="K127" s="479"/>
      <c r="L127" s="488"/>
      <c r="M127" s="479">
        <f t="shared" si="15"/>
        <v>0</v>
      </c>
      <c r="N127" s="488"/>
      <c r="O127" s="479">
        <f t="shared" si="11"/>
        <v>0</v>
      </c>
      <c r="P127" s="479">
        <f t="shared" si="12"/>
        <v>0</v>
      </c>
    </row>
    <row r="128" spans="2:16" ht="12.5">
      <c r="B128" s="160" t="str">
        <f t="shared" si="16"/>
        <v/>
      </c>
      <c r="C128" s="473">
        <f>IF(D93="","-",+C127+1)</f>
        <v>2048</v>
      </c>
      <c r="D128" s="347">
        <f>IF(F127+SUM(E$99:E127)=D$92,F127,D$92-SUM(E$99:E127))</f>
        <v>2841134</v>
      </c>
      <c r="E128" s="485">
        <f t="shared" si="17"/>
        <v>189410</v>
      </c>
      <c r="F128" s="486">
        <f t="shared" si="18"/>
        <v>2651724</v>
      </c>
      <c r="G128" s="486">
        <f t="shared" si="19"/>
        <v>2746429</v>
      </c>
      <c r="H128" s="487">
        <f t="shared" si="20"/>
        <v>506065.71301605622</v>
      </c>
      <c r="I128" s="543">
        <f t="shared" si="21"/>
        <v>506065.71301605622</v>
      </c>
      <c r="J128" s="479">
        <f t="shared" si="14"/>
        <v>0</v>
      </c>
      <c r="K128" s="479"/>
      <c r="L128" s="488"/>
      <c r="M128" s="479">
        <f t="shared" si="15"/>
        <v>0</v>
      </c>
      <c r="N128" s="488"/>
      <c r="O128" s="479">
        <f t="shared" si="11"/>
        <v>0</v>
      </c>
      <c r="P128" s="479">
        <f t="shared" si="12"/>
        <v>0</v>
      </c>
    </row>
    <row r="129" spans="2:16" ht="12.5">
      <c r="B129" s="160" t="str">
        <f t="shared" si="16"/>
        <v/>
      </c>
      <c r="C129" s="473">
        <f>IF(D93="","-",+C128+1)</f>
        <v>2049</v>
      </c>
      <c r="D129" s="347">
        <f>IF(F128+SUM(E$99:E128)=D$92,F128,D$92-SUM(E$99:E128))</f>
        <v>2651724</v>
      </c>
      <c r="E129" s="485">
        <f t="shared" si="17"/>
        <v>189410</v>
      </c>
      <c r="F129" s="486">
        <f t="shared" si="18"/>
        <v>2462314</v>
      </c>
      <c r="G129" s="486">
        <f t="shared" si="19"/>
        <v>2557019</v>
      </c>
      <c r="H129" s="487">
        <f t="shared" si="20"/>
        <v>484227.26075591362</v>
      </c>
      <c r="I129" s="543">
        <f t="shared" si="21"/>
        <v>484227.26075591362</v>
      </c>
      <c r="J129" s="479">
        <f t="shared" si="14"/>
        <v>0</v>
      </c>
      <c r="K129" s="479"/>
      <c r="L129" s="488"/>
      <c r="M129" s="479">
        <f t="shared" si="15"/>
        <v>0</v>
      </c>
      <c r="N129" s="488"/>
      <c r="O129" s="479">
        <f t="shared" si="11"/>
        <v>0</v>
      </c>
      <c r="P129" s="479">
        <f t="shared" si="12"/>
        <v>0</v>
      </c>
    </row>
    <row r="130" spans="2:16" ht="12.5">
      <c r="B130" s="160" t="str">
        <f t="shared" si="16"/>
        <v/>
      </c>
      <c r="C130" s="473">
        <f>IF(D93="","-",+C129+1)</f>
        <v>2050</v>
      </c>
      <c r="D130" s="347">
        <f>IF(F129+SUM(E$99:E129)=D$92,F129,D$92-SUM(E$99:E129))</f>
        <v>2462314</v>
      </c>
      <c r="E130" s="485">
        <f t="shared" si="17"/>
        <v>189410</v>
      </c>
      <c r="F130" s="486">
        <f t="shared" si="18"/>
        <v>2272904</v>
      </c>
      <c r="G130" s="486">
        <f t="shared" si="19"/>
        <v>2367609</v>
      </c>
      <c r="H130" s="487">
        <f t="shared" si="20"/>
        <v>462388.80849577102</v>
      </c>
      <c r="I130" s="543">
        <f t="shared" si="21"/>
        <v>462388.80849577102</v>
      </c>
      <c r="J130" s="479">
        <f t="shared" si="14"/>
        <v>0</v>
      </c>
      <c r="K130" s="479"/>
      <c r="L130" s="488"/>
      <c r="M130" s="479">
        <f t="shared" si="15"/>
        <v>0</v>
      </c>
      <c r="N130" s="488"/>
      <c r="O130" s="479">
        <f t="shared" si="11"/>
        <v>0</v>
      </c>
      <c r="P130" s="479">
        <f t="shared" si="12"/>
        <v>0</v>
      </c>
    </row>
    <row r="131" spans="2:16" ht="12.5">
      <c r="B131" s="160" t="str">
        <f t="shared" si="16"/>
        <v/>
      </c>
      <c r="C131" s="473">
        <f>IF(D93="","-",+C130+1)</f>
        <v>2051</v>
      </c>
      <c r="D131" s="347">
        <f>IF(F130+SUM(E$99:E130)=D$92,F130,D$92-SUM(E$99:E130))</f>
        <v>2272904</v>
      </c>
      <c r="E131" s="485">
        <f t="shared" si="17"/>
        <v>189410</v>
      </c>
      <c r="F131" s="486">
        <f t="shared" si="18"/>
        <v>2083494</v>
      </c>
      <c r="G131" s="486">
        <f t="shared" si="19"/>
        <v>2178199</v>
      </c>
      <c r="H131" s="487">
        <f t="shared" si="20"/>
        <v>440550.35623562837</v>
      </c>
      <c r="I131" s="543">
        <f t="shared" si="21"/>
        <v>440550.35623562837</v>
      </c>
      <c r="J131" s="479">
        <f t="shared" ref="J131:J154" si="22">+I541-H541</f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6"/>
        <v/>
      </c>
      <c r="C132" s="473">
        <f>IF(D93="","-",+C131+1)</f>
        <v>2052</v>
      </c>
      <c r="D132" s="347">
        <f>IF(F131+SUM(E$99:E131)=D$92,F131,D$92-SUM(E$99:E131))</f>
        <v>2083494</v>
      </c>
      <c r="E132" s="485">
        <f t="shared" si="17"/>
        <v>189410</v>
      </c>
      <c r="F132" s="486">
        <f t="shared" si="18"/>
        <v>1894084</v>
      </c>
      <c r="G132" s="486">
        <f t="shared" si="19"/>
        <v>1988789</v>
      </c>
      <c r="H132" s="487">
        <f t="shared" si="20"/>
        <v>418711.90397548582</v>
      </c>
      <c r="I132" s="543">
        <f t="shared" si="21"/>
        <v>418711.90397548582</v>
      </c>
      <c r="J132" s="479">
        <f t="shared" si="22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6"/>
        <v/>
      </c>
      <c r="C133" s="473">
        <f>IF(D93="","-",+C132+1)</f>
        <v>2053</v>
      </c>
      <c r="D133" s="347">
        <f>IF(F132+SUM(E$99:E132)=D$92,F132,D$92-SUM(E$99:E132))</f>
        <v>1894084</v>
      </c>
      <c r="E133" s="485">
        <f t="shared" si="17"/>
        <v>189410</v>
      </c>
      <c r="F133" s="486">
        <f t="shared" si="18"/>
        <v>1704674</v>
      </c>
      <c r="G133" s="486">
        <f t="shared" si="19"/>
        <v>1799379</v>
      </c>
      <c r="H133" s="487">
        <f t="shared" si="20"/>
        <v>396873.45171534317</v>
      </c>
      <c r="I133" s="543">
        <f t="shared" si="21"/>
        <v>396873.45171534317</v>
      </c>
      <c r="J133" s="479">
        <f t="shared" si="22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6"/>
        <v/>
      </c>
      <c r="C134" s="473">
        <f>IF(D93="","-",+C133+1)</f>
        <v>2054</v>
      </c>
      <c r="D134" s="347">
        <f>IF(F133+SUM(E$99:E133)=D$92,F133,D$92-SUM(E$99:E133))</f>
        <v>1704674</v>
      </c>
      <c r="E134" s="485">
        <f t="shared" si="17"/>
        <v>189410</v>
      </c>
      <c r="F134" s="486">
        <f t="shared" si="18"/>
        <v>1515264</v>
      </c>
      <c r="G134" s="486">
        <f t="shared" si="19"/>
        <v>1609969</v>
      </c>
      <c r="H134" s="487">
        <f t="shared" si="20"/>
        <v>375034.99945520057</v>
      </c>
      <c r="I134" s="543">
        <f t="shared" si="21"/>
        <v>375034.99945520057</v>
      </c>
      <c r="J134" s="479">
        <f t="shared" si="22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6"/>
        <v/>
      </c>
      <c r="C135" s="473">
        <f>IF(D93="","-",+C134+1)</f>
        <v>2055</v>
      </c>
      <c r="D135" s="347">
        <f>IF(F134+SUM(E$99:E134)=D$92,F134,D$92-SUM(E$99:E134))</f>
        <v>1515264</v>
      </c>
      <c r="E135" s="485">
        <f t="shared" si="17"/>
        <v>189410</v>
      </c>
      <c r="F135" s="486">
        <f t="shared" si="18"/>
        <v>1325854</v>
      </c>
      <c r="G135" s="486">
        <f t="shared" si="19"/>
        <v>1420559</v>
      </c>
      <c r="H135" s="487">
        <f t="shared" si="20"/>
        <v>353196.54719505797</v>
      </c>
      <c r="I135" s="543">
        <f t="shared" si="21"/>
        <v>353196.54719505797</v>
      </c>
      <c r="J135" s="479">
        <f t="shared" si="22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6"/>
        <v/>
      </c>
      <c r="C136" s="473">
        <f>IF(D93="","-",+C135+1)</f>
        <v>2056</v>
      </c>
      <c r="D136" s="347">
        <f>IF(F135+SUM(E$99:E135)=D$92,F135,D$92-SUM(E$99:E135))</f>
        <v>1325854</v>
      </c>
      <c r="E136" s="485">
        <f t="shared" si="17"/>
        <v>189410</v>
      </c>
      <c r="F136" s="486">
        <f t="shared" si="18"/>
        <v>1136444</v>
      </c>
      <c r="G136" s="486">
        <f t="shared" si="19"/>
        <v>1231149</v>
      </c>
      <c r="H136" s="487">
        <f t="shared" si="20"/>
        <v>331358.09493491531</v>
      </c>
      <c r="I136" s="543">
        <f t="shared" si="21"/>
        <v>331358.09493491531</v>
      </c>
      <c r="J136" s="479">
        <f t="shared" si="22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6"/>
        <v/>
      </c>
      <c r="C137" s="473">
        <f>IF(D93="","-",+C136+1)</f>
        <v>2057</v>
      </c>
      <c r="D137" s="347">
        <f>IF(F136+SUM(E$99:E136)=D$92,F136,D$92-SUM(E$99:E136))</f>
        <v>1136444</v>
      </c>
      <c r="E137" s="485">
        <f t="shared" si="17"/>
        <v>189410</v>
      </c>
      <c r="F137" s="486">
        <f t="shared" si="18"/>
        <v>947034</v>
      </c>
      <c r="G137" s="486">
        <f t="shared" si="19"/>
        <v>1041739</v>
      </c>
      <c r="H137" s="487">
        <f t="shared" si="20"/>
        <v>309519.64267477277</v>
      </c>
      <c r="I137" s="543">
        <f t="shared" si="21"/>
        <v>309519.64267477277</v>
      </c>
      <c r="J137" s="479">
        <f t="shared" si="22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6"/>
        <v/>
      </c>
      <c r="C138" s="473">
        <f>IF(D93="","-",+C137+1)</f>
        <v>2058</v>
      </c>
      <c r="D138" s="347">
        <f>IF(F137+SUM(E$99:E137)=D$92,F137,D$92-SUM(E$99:E137))</f>
        <v>947034</v>
      </c>
      <c r="E138" s="485">
        <f t="shared" si="17"/>
        <v>189410</v>
      </c>
      <c r="F138" s="486">
        <f t="shared" si="18"/>
        <v>757624</v>
      </c>
      <c r="G138" s="486">
        <f t="shared" si="19"/>
        <v>852329</v>
      </c>
      <c r="H138" s="487">
        <f t="shared" si="20"/>
        <v>287681.19041463011</v>
      </c>
      <c r="I138" s="543">
        <f t="shared" si="21"/>
        <v>287681.19041463011</v>
      </c>
      <c r="J138" s="479">
        <f t="shared" si="22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6"/>
        <v/>
      </c>
      <c r="C139" s="473">
        <f>IF(D93="","-",+C138+1)</f>
        <v>2059</v>
      </c>
      <c r="D139" s="347">
        <f>IF(F138+SUM(E$99:E138)=D$92,F138,D$92-SUM(E$99:E138))</f>
        <v>757624</v>
      </c>
      <c r="E139" s="485">
        <f t="shared" si="17"/>
        <v>189410</v>
      </c>
      <c r="F139" s="486">
        <f t="shared" si="18"/>
        <v>568214</v>
      </c>
      <c r="G139" s="486">
        <f t="shared" si="19"/>
        <v>662919</v>
      </c>
      <c r="H139" s="487">
        <f t="shared" si="20"/>
        <v>265842.73815448751</v>
      </c>
      <c r="I139" s="543">
        <f t="shared" si="21"/>
        <v>265842.73815448751</v>
      </c>
      <c r="J139" s="479">
        <f t="shared" si="22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6"/>
        <v/>
      </c>
      <c r="C140" s="473">
        <f>IF(D93="","-",+C139+1)</f>
        <v>2060</v>
      </c>
      <c r="D140" s="347">
        <f>IF(F139+SUM(E$99:E139)=D$92,F139,D$92-SUM(E$99:E139))</f>
        <v>568214</v>
      </c>
      <c r="E140" s="485">
        <f t="shared" si="17"/>
        <v>189410</v>
      </c>
      <c r="F140" s="486">
        <f t="shared" si="18"/>
        <v>378804</v>
      </c>
      <c r="G140" s="486">
        <f t="shared" si="19"/>
        <v>473509</v>
      </c>
      <c r="H140" s="487">
        <f t="shared" si="20"/>
        <v>244004.28589434491</v>
      </c>
      <c r="I140" s="543">
        <f t="shared" si="21"/>
        <v>244004.28589434491</v>
      </c>
      <c r="J140" s="479">
        <f t="shared" si="22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6"/>
        <v/>
      </c>
      <c r="C141" s="473">
        <f>IF(D93="","-",+C140+1)</f>
        <v>2061</v>
      </c>
      <c r="D141" s="347">
        <f>IF(F140+SUM(E$99:E140)=D$92,F140,D$92-SUM(E$99:E140))</f>
        <v>378804</v>
      </c>
      <c r="E141" s="485">
        <f t="shared" si="17"/>
        <v>189410</v>
      </c>
      <c r="F141" s="486">
        <f t="shared" si="18"/>
        <v>189394</v>
      </c>
      <c r="G141" s="486">
        <f t="shared" si="19"/>
        <v>284099</v>
      </c>
      <c r="H141" s="487">
        <f t="shared" si="20"/>
        <v>222165.83363420228</v>
      </c>
      <c r="I141" s="543">
        <f t="shared" si="21"/>
        <v>222165.83363420228</v>
      </c>
      <c r="J141" s="479">
        <f t="shared" si="22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6"/>
        <v/>
      </c>
      <c r="C142" s="473">
        <f>IF(D93="","-",+C141+1)</f>
        <v>2062</v>
      </c>
      <c r="D142" s="347">
        <f>IF(F141+SUM(E$99:E141)=D$92,F141,D$92-SUM(E$99:E141))</f>
        <v>189394</v>
      </c>
      <c r="E142" s="485">
        <f t="shared" si="17"/>
        <v>189394</v>
      </c>
      <c r="F142" s="486">
        <f t="shared" si="18"/>
        <v>0</v>
      </c>
      <c r="G142" s="486">
        <f t="shared" si="19"/>
        <v>94697</v>
      </c>
      <c r="H142" s="487">
        <f t="shared" si="20"/>
        <v>200312.30375206549</v>
      </c>
      <c r="I142" s="543">
        <f t="shared" si="21"/>
        <v>200312.30375206549</v>
      </c>
      <c r="J142" s="479">
        <f t="shared" si="22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6"/>
        <v/>
      </c>
      <c r="C143" s="473">
        <f>IF(D93="","-",+C142+1)</f>
        <v>2063</v>
      </c>
      <c r="D143" s="347">
        <f>IF(F142+SUM(E$99:E142)=D$92,F142,D$92-SUM(E$99:E142))</f>
        <v>0</v>
      </c>
      <c r="E143" s="485">
        <f t="shared" si="17"/>
        <v>0</v>
      </c>
      <c r="F143" s="486">
        <f t="shared" si="18"/>
        <v>0</v>
      </c>
      <c r="G143" s="486">
        <f t="shared" si="19"/>
        <v>0</v>
      </c>
      <c r="H143" s="487">
        <f t="shared" si="20"/>
        <v>0</v>
      </c>
      <c r="I143" s="543">
        <f t="shared" si="21"/>
        <v>0</v>
      </c>
      <c r="J143" s="479">
        <f t="shared" si="22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6"/>
        <v/>
      </c>
      <c r="C144" s="473">
        <f>IF(D93="","-",+C143+1)</f>
        <v>2064</v>
      </c>
      <c r="D144" s="347">
        <f>IF(F143+SUM(E$99:E143)=D$92,F143,D$92-SUM(E$99:E143))</f>
        <v>0</v>
      </c>
      <c r="E144" s="485">
        <f t="shared" si="17"/>
        <v>0</v>
      </c>
      <c r="F144" s="486">
        <f t="shared" si="18"/>
        <v>0</v>
      </c>
      <c r="G144" s="486">
        <f t="shared" si="19"/>
        <v>0</v>
      </c>
      <c r="H144" s="487">
        <f t="shared" si="20"/>
        <v>0</v>
      </c>
      <c r="I144" s="543">
        <f t="shared" si="21"/>
        <v>0</v>
      </c>
      <c r="J144" s="479">
        <f t="shared" si="22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6"/>
        <v/>
      </c>
      <c r="C145" s="473">
        <f>IF(D93="","-",+C144+1)</f>
        <v>2065</v>
      </c>
      <c r="D145" s="347">
        <f>IF(F144+SUM(E$99:E144)=D$92,F144,D$92-SUM(E$99:E144))</f>
        <v>0</v>
      </c>
      <c r="E145" s="485">
        <f t="shared" si="17"/>
        <v>0</v>
      </c>
      <c r="F145" s="486">
        <f t="shared" si="18"/>
        <v>0</v>
      </c>
      <c r="G145" s="486">
        <f t="shared" si="19"/>
        <v>0</v>
      </c>
      <c r="H145" s="487">
        <f t="shared" si="20"/>
        <v>0</v>
      </c>
      <c r="I145" s="543">
        <f t="shared" si="21"/>
        <v>0</v>
      </c>
      <c r="J145" s="479">
        <f t="shared" si="22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6"/>
        <v/>
      </c>
      <c r="C146" s="473">
        <f>IF(D93="","-",+C145+1)</f>
        <v>2066</v>
      </c>
      <c r="D146" s="347">
        <f>IF(F145+SUM(E$99:E145)=D$92,F145,D$92-SUM(E$99:E145))</f>
        <v>0</v>
      </c>
      <c r="E146" s="485">
        <f t="shared" si="17"/>
        <v>0</v>
      </c>
      <c r="F146" s="486">
        <f t="shared" si="18"/>
        <v>0</v>
      </c>
      <c r="G146" s="486">
        <f t="shared" si="19"/>
        <v>0</v>
      </c>
      <c r="H146" s="487">
        <f t="shared" si="20"/>
        <v>0</v>
      </c>
      <c r="I146" s="543">
        <f t="shared" si="21"/>
        <v>0</v>
      </c>
      <c r="J146" s="479">
        <f t="shared" si="22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6"/>
        <v/>
      </c>
      <c r="C147" s="473">
        <f>IF(D93="","-",+C146+1)</f>
        <v>2067</v>
      </c>
      <c r="D147" s="347">
        <f>IF(F146+SUM(E$99:E146)=D$92,F146,D$92-SUM(E$99:E146))</f>
        <v>0</v>
      </c>
      <c r="E147" s="485">
        <f t="shared" si="17"/>
        <v>0</v>
      </c>
      <c r="F147" s="486">
        <f t="shared" si="18"/>
        <v>0</v>
      </c>
      <c r="G147" s="486">
        <f t="shared" si="19"/>
        <v>0</v>
      </c>
      <c r="H147" s="487">
        <f t="shared" si="20"/>
        <v>0</v>
      </c>
      <c r="I147" s="543">
        <f t="shared" si="21"/>
        <v>0</v>
      </c>
      <c r="J147" s="479">
        <f t="shared" si="22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6"/>
        <v/>
      </c>
      <c r="C148" s="473">
        <f>IF(D93="","-",+C147+1)</f>
        <v>2068</v>
      </c>
      <c r="D148" s="347">
        <f>IF(F147+SUM(E$99:E147)=D$92,F147,D$92-SUM(E$99:E147))</f>
        <v>0</v>
      </c>
      <c r="E148" s="485">
        <f t="shared" si="17"/>
        <v>0</v>
      </c>
      <c r="F148" s="486">
        <f t="shared" si="18"/>
        <v>0</v>
      </c>
      <c r="G148" s="486">
        <f t="shared" si="19"/>
        <v>0</v>
      </c>
      <c r="H148" s="487">
        <f t="shared" si="20"/>
        <v>0</v>
      </c>
      <c r="I148" s="543">
        <f t="shared" si="21"/>
        <v>0</v>
      </c>
      <c r="J148" s="479">
        <f t="shared" si="22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6"/>
        <v/>
      </c>
      <c r="C149" s="473">
        <f>IF(D93="","-",+C148+1)</f>
        <v>2069</v>
      </c>
      <c r="D149" s="347">
        <f>IF(F148+SUM(E$99:E148)=D$92,F148,D$92-SUM(E$99:E148))</f>
        <v>0</v>
      </c>
      <c r="E149" s="485">
        <f t="shared" si="17"/>
        <v>0</v>
      </c>
      <c r="F149" s="486">
        <f t="shared" si="18"/>
        <v>0</v>
      </c>
      <c r="G149" s="486">
        <f t="shared" si="19"/>
        <v>0</v>
      </c>
      <c r="H149" s="487">
        <f t="shared" si="20"/>
        <v>0</v>
      </c>
      <c r="I149" s="543">
        <f t="shared" si="21"/>
        <v>0</v>
      </c>
      <c r="J149" s="479">
        <f t="shared" si="22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6"/>
        <v/>
      </c>
      <c r="C150" s="473">
        <f>IF(D93="","-",+C149+1)</f>
        <v>2070</v>
      </c>
      <c r="D150" s="347">
        <f>IF(F149+SUM(E$99:E149)=D$92,F149,D$92-SUM(E$99:E149))</f>
        <v>0</v>
      </c>
      <c r="E150" s="485">
        <f t="shared" si="17"/>
        <v>0</v>
      </c>
      <c r="F150" s="486">
        <f t="shared" si="18"/>
        <v>0</v>
      </c>
      <c r="G150" s="486">
        <f t="shared" si="19"/>
        <v>0</v>
      </c>
      <c r="H150" s="487">
        <f t="shared" si="20"/>
        <v>0</v>
      </c>
      <c r="I150" s="543">
        <f t="shared" si="21"/>
        <v>0</v>
      </c>
      <c r="J150" s="479">
        <f t="shared" si="22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6"/>
        <v/>
      </c>
      <c r="C151" s="473">
        <f>IF(D93="","-",+C150+1)</f>
        <v>2071</v>
      </c>
      <c r="D151" s="347">
        <f>IF(F150+SUM(E$99:E150)=D$92,F150,D$92-SUM(E$99:E150))</f>
        <v>0</v>
      </c>
      <c r="E151" s="485">
        <f t="shared" si="17"/>
        <v>0</v>
      </c>
      <c r="F151" s="486">
        <f t="shared" si="18"/>
        <v>0</v>
      </c>
      <c r="G151" s="486">
        <f t="shared" si="19"/>
        <v>0</v>
      </c>
      <c r="H151" s="487">
        <f t="shared" si="20"/>
        <v>0</v>
      </c>
      <c r="I151" s="543">
        <f t="shared" si="21"/>
        <v>0</v>
      </c>
      <c r="J151" s="479">
        <f t="shared" si="22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6"/>
        <v/>
      </c>
      <c r="C152" s="473">
        <f>IF(D93="","-",+C151+1)</f>
        <v>2072</v>
      </c>
      <c r="D152" s="347">
        <f>IF(F151+SUM(E$99:E151)=D$92,F151,D$92-SUM(E$99:E151))</f>
        <v>0</v>
      </c>
      <c r="E152" s="485">
        <f t="shared" si="17"/>
        <v>0</v>
      </c>
      <c r="F152" s="486">
        <f t="shared" si="18"/>
        <v>0</v>
      </c>
      <c r="G152" s="486">
        <f t="shared" si="19"/>
        <v>0</v>
      </c>
      <c r="H152" s="487">
        <f t="shared" si="20"/>
        <v>0</v>
      </c>
      <c r="I152" s="543">
        <f t="shared" si="21"/>
        <v>0</v>
      </c>
      <c r="J152" s="479">
        <f t="shared" si="22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6"/>
        <v/>
      </c>
      <c r="C153" s="473">
        <f>IF(D93="","-",+C152+1)</f>
        <v>2073</v>
      </c>
      <c r="D153" s="347">
        <f>IF(F152+SUM(E$99:E152)=D$92,F152,D$92-SUM(E$99:E152))</f>
        <v>0</v>
      </c>
      <c r="E153" s="485">
        <f t="shared" si="17"/>
        <v>0</v>
      </c>
      <c r="F153" s="486">
        <f t="shared" si="18"/>
        <v>0</v>
      </c>
      <c r="G153" s="486">
        <f t="shared" si="19"/>
        <v>0</v>
      </c>
      <c r="H153" s="487">
        <f t="shared" si="20"/>
        <v>0</v>
      </c>
      <c r="I153" s="543">
        <f t="shared" si="21"/>
        <v>0</v>
      </c>
      <c r="J153" s="479">
        <f t="shared" si="22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6"/>
        <v/>
      </c>
      <c r="C154" s="490">
        <f>IF(D93="","-",+C153+1)</f>
        <v>2074</v>
      </c>
      <c r="D154" s="544">
        <f>IF(F153+SUM(E$99:E153)=D$92,F153,D$92-SUM(E$99:E153))</f>
        <v>0</v>
      </c>
      <c r="E154" s="492">
        <f t="shared" si="17"/>
        <v>0</v>
      </c>
      <c r="F154" s="491">
        <f t="shared" si="18"/>
        <v>0</v>
      </c>
      <c r="G154" s="491">
        <f t="shared" si="19"/>
        <v>0</v>
      </c>
      <c r="H154" s="614">
        <f t="shared" ref="H154" si="26">+J$94*G154+E154</f>
        <v>0</v>
      </c>
      <c r="I154" s="615">
        <f t="shared" ref="I154" si="27">+J$95*G154+E154</f>
        <v>0</v>
      </c>
      <c r="J154" s="496">
        <f t="shared" si="22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8144614</v>
      </c>
      <c r="F155" s="348"/>
      <c r="G155" s="348"/>
      <c r="H155" s="348">
        <f>SUM(H99:H154)</f>
        <v>28663577.106756564</v>
      </c>
      <c r="I155" s="348">
        <f>SUM(I99:I154)</f>
        <v>28663577.106756564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37"/>
  <sheetViews>
    <sheetView topLeftCell="F112" zoomScale="70" zoomScaleNormal="70" zoomScaleSheetLayoutView="100" workbookViewId="0">
      <selection activeCell="R132" sqref="R132:R135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0.7265625" style="148" customWidth="1"/>
    <col min="4" max="9" width="17.7265625" style="148" customWidth="1"/>
    <col min="10" max="10" width="17.7265625" style="148" bestFit="1" customWidth="1"/>
    <col min="11" max="11" width="2.1796875" style="148" customWidth="1"/>
    <col min="12" max="15" width="17.7265625" style="148" customWidth="1"/>
    <col min="16" max="16" width="19.54296875" style="148" customWidth="1"/>
    <col min="17" max="17" width="2.1796875" style="148" customWidth="1"/>
    <col min="18" max="18" width="16.453125" style="148" customWidth="1"/>
    <col min="19" max="19" width="52.453125" style="148" customWidth="1"/>
    <col min="20" max="16384" width="8.7265625" style="148"/>
  </cols>
  <sheetData>
    <row r="1" spans="1:19" ht="17.5">
      <c r="A1" s="643" t="str">
        <f>PSO.WS.F.BPU.ATRR.Projected!A1</f>
        <v xml:space="preserve">AEP West SPP Member Companies 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Q1" s="195"/>
      <c r="R1" s="195"/>
    </row>
    <row r="2" spans="1:19" ht="17.5">
      <c r="A2" s="643" t="str">
        <f>PSO.WS.F.BPU.ATRR.Projected!A2</f>
        <v>2021 Cost of Service Formula Rate Projected on 2020 FF1 Balances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Q2" s="240" t="s">
        <v>125</v>
      </c>
      <c r="R2" s="195"/>
    </row>
    <row r="3" spans="1:19" ht="18">
      <c r="A3" s="646" t="s">
        <v>141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Q3" s="195"/>
      <c r="R3" s="195"/>
    </row>
    <row r="4" spans="1:19" ht="17.5">
      <c r="A4" s="645" t="str">
        <f>"Based on a Carrying Charge Derived from ""Trued-Up"" "&amp;M16&amp;" Data"</f>
        <v>Based on a Carrying Charge Derived from "Trued-Up" 2020 Data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Q4" s="195"/>
      <c r="R4" s="195"/>
    </row>
    <row r="5" spans="1:19" ht="18">
      <c r="A5" s="651" t="str">
        <f>PSO.WS.F.BPU.ATRR.Projected!A5</f>
        <v>PUBLIC SERVICE COMPANY OF OKLAHOMA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Q5" s="195"/>
      <c r="R5" s="195"/>
    </row>
    <row r="6" spans="1:19" ht="20">
      <c r="A6" s="374"/>
      <c r="C6" s="304"/>
      <c r="D6" s="160"/>
      <c r="I6" s="217"/>
      <c r="K6" s="195"/>
      <c r="Q6" s="195"/>
      <c r="R6" s="195"/>
    </row>
    <row r="7" spans="1:19" ht="12.5">
      <c r="D7" s="160"/>
      <c r="I7" s="217"/>
      <c r="K7" s="195"/>
      <c r="Q7" s="195"/>
      <c r="R7" s="195"/>
    </row>
    <row r="8" spans="1:19" ht="38.25" customHeight="1">
      <c r="B8" s="244" t="s">
        <v>0</v>
      </c>
      <c r="C8" s="648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49"/>
      <c r="E8" s="649"/>
      <c r="F8" s="649"/>
      <c r="G8" s="649"/>
      <c r="H8" s="649"/>
      <c r="I8" s="649"/>
      <c r="K8" s="195"/>
      <c r="Q8" s="195"/>
      <c r="R8" s="195"/>
    </row>
    <row r="9" spans="1:19" ht="15.75" customHeight="1">
      <c r="C9" s="375"/>
      <c r="D9" s="375"/>
      <c r="E9" s="375"/>
      <c r="F9" s="375"/>
      <c r="G9" s="375"/>
      <c r="H9" s="375"/>
      <c r="I9" s="375"/>
      <c r="K9" s="195"/>
      <c r="Q9" s="195"/>
      <c r="R9" s="195"/>
    </row>
    <row r="10" spans="1:19" ht="15.5">
      <c r="C10" s="245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I10" s="217"/>
      <c r="K10" s="195"/>
      <c r="Q10" s="195"/>
      <c r="R10" s="195"/>
    </row>
    <row r="11" spans="1:19" ht="12.5">
      <c r="D11" s="160"/>
      <c r="I11" s="217"/>
      <c r="K11" s="195"/>
      <c r="Q11" s="195"/>
      <c r="R11" s="195"/>
    </row>
    <row r="12" spans="1:19" ht="12.5">
      <c r="C12" s="248" t="str">
        <f>S105</f>
        <v xml:space="preserve">   ROE w/o incentives  (True-Up TCOS, ln 135)</v>
      </c>
      <c r="D12" s="160"/>
      <c r="E12" s="249"/>
      <c r="F12" s="250">
        <f>+R105</f>
        <v>0.105</v>
      </c>
      <c r="G12" s="250"/>
      <c r="H12" s="251"/>
      <c r="I12" s="252"/>
      <c r="J12" s="253"/>
      <c r="K12" s="254"/>
      <c r="L12" s="253"/>
      <c r="M12" s="253"/>
      <c r="N12" s="253"/>
      <c r="O12" s="253"/>
      <c r="P12" s="253"/>
      <c r="Q12" s="254"/>
      <c r="R12" s="243"/>
      <c r="S12" s="233"/>
    </row>
    <row r="13" spans="1:19" ht="13" thickBot="1">
      <c r="C13" s="248" t="s">
        <v>1</v>
      </c>
      <c r="D13" s="160"/>
      <c r="E13" s="249"/>
      <c r="F13" s="376">
        <f>R106</f>
        <v>0</v>
      </c>
      <c r="G13" s="377" t="s">
        <v>152</v>
      </c>
      <c r="L13" s="253"/>
      <c r="M13" s="253"/>
      <c r="N13" s="253"/>
      <c r="O13" s="253"/>
      <c r="P13" s="253"/>
      <c r="Q13" s="254"/>
      <c r="R13" s="243"/>
      <c r="S13" s="233"/>
    </row>
    <row r="14" spans="1:19" ht="13">
      <c r="C14" s="248" t="str">
        <f>"   ROE with additional "&amp;F13&amp;" basis point incentive"</f>
        <v xml:space="preserve">   ROE with additional 0 basis point incentive</v>
      </c>
      <c r="D14" s="249"/>
      <c r="E14" s="249"/>
      <c r="F14" s="256">
        <f>IF((F12+(F13/10000)&gt;0.1245),"ERROR",F12+(F13/10000))</f>
        <v>0.105</v>
      </c>
      <c r="G14" s="257" t="s">
        <v>2</v>
      </c>
      <c r="I14" s="253"/>
      <c r="J14" s="253"/>
      <c r="K14" s="254"/>
      <c r="L14" s="378" t="s">
        <v>89</v>
      </c>
      <c r="M14" s="379"/>
      <c r="N14" s="379"/>
      <c r="O14" s="379"/>
      <c r="P14" s="380"/>
      <c r="Q14" s="254"/>
      <c r="R14" s="243"/>
      <c r="S14" s="233"/>
    </row>
    <row r="15" spans="1:19" ht="12.5">
      <c r="C15" s="248" t="s">
        <v>235</v>
      </c>
      <c r="D15" s="160"/>
      <c r="E15" s="249"/>
      <c r="F15" s="256"/>
      <c r="G15" s="256"/>
      <c r="H15" s="249"/>
      <c r="I15" s="253"/>
      <c r="J15" s="253"/>
      <c r="K15" s="254"/>
      <c r="L15" s="266"/>
      <c r="M15" s="254"/>
      <c r="N15" s="254" t="s">
        <v>8</v>
      </c>
      <c r="O15" s="254" t="s">
        <v>9</v>
      </c>
      <c r="P15" s="268" t="s">
        <v>10</v>
      </c>
      <c r="Q15" s="254"/>
      <c r="R15" s="243"/>
      <c r="S15" s="233"/>
    </row>
    <row r="16" spans="1:19" ht="12.5">
      <c r="C16" s="254"/>
      <c r="D16" s="258" t="s">
        <v>4</v>
      </c>
      <c r="E16" s="258" t="s">
        <v>5</v>
      </c>
      <c r="F16" s="259" t="s">
        <v>6</v>
      </c>
      <c r="G16" s="259"/>
      <c r="H16" s="249"/>
      <c r="I16" s="253"/>
      <c r="J16" s="253"/>
      <c r="K16" s="254"/>
      <c r="L16" s="266" t="s">
        <v>90</v>
      </c>
      <c r="M16" s="381">
        <v>2020</v>
      </c>
      <c r="N16" s="195"/>
      <c r="O16" s="195"/>
      <c r="P16" s="273"/>
      <c r="Q16" s="254"/>
      <c r="R16" s="243"/>
      <c r="S16" s="233"/>
    </row>
    <row r="17" spans="3:19" ht="12.5">
      <c r="C17" s="260" t="s">
        <v>7</v>
      </c>
      <c r="D17" s="261">
        <f>R107</f>
        <v>0.49221422988540209</v>
      </c>
      <c r="E17" s="262">
        <f>R108</f>
        <v>4.2554973149327033E-2</v>
      </c>
      <c r="F17" s="382">
        <f>E17*D17</f>
        <v>2.0946163336489968E-2</v>
      </c>
      <c r="G17" s="382"/>
      <c r="H17" s="249"/>
      <c r="I17" s="253"/>
      <c r="J17" s="264"/>
      <c r="K17" s="265"/>
      <c r="L17" s="272"/>
      <c r="M17" s="383" t="s">
        <v>219</v>
      </c>
      <c r="N17" s="384">
        <f>SUM('P.001:P.xyz - blank'!M87)</f>
        <v>7973838.7799099376</v>
      </c>
      <c r="O17" s="384">
        <f>SUM('P.001:P.xyz - blank'!N87)</f>
        <v>7973838.7799099376</v>
      </c>
      <c r="P17" s="385">
        <f>+O17-N17</f>
        <v>0</v>
      </c>
      <c r="Q17" s="265"/>
      <c r="R17" s="243"/>
      <c r="S17" s="233"/>
    </row>
    <row r="18" spans="3:19" ht="13" thickBot="1">
      <c r="C18" s="260" t="s">
        <v>11</v>
      </c>
      <c r="D18" s="261">
        <f>R109</f>
        <v>0</v>
      </c>
      <c r="E18" s="262">
        <f>R110</f>
        <v>0</v>
      </c>
      <c r="F18" s="382">
        <f>E18*D18</f>
        <v>0</v>
      </c>
      <c r="G18" s="382"/>
      <c r="H18" s="269"/>
      <c r="I18" s="269"/>
      <c r="J18" s="270"/>
      <c r="K18" s="271"/>
      <c r="L18" s="272"/>
      <c r="M18" s="386" t="s">
        <v>218</v>
      </c>
      <c r="N18" s="387">
        <f>SUM('P.001:P.xyz - blank'!M88)</f>
        <v>8608680.5050717462</v>
      </c>
      <c r="O18" s="387">
        <f>SUM('P.001:P.xyz - blank'!N88)</f>
        <v>8608680.5050717462</v>
      </c>
      <c r="P18" s="279">
        <f>+O18-N18</f>
        <v>0</v>
      </c>
      <c r="Q18" s="271"/>
      <c r="R18" s="243"/>
      <c r="S18" s="233"/>
    </row>
    <row r="19" spans="3:19" ht="12.5">
      <c r="C19" s="274" t="s">
        <v>12</v>
      </c>
      <c r="D19" s="261">
        <f>R111</f>
        <v>0.5077857701145978</v>
      </c>
      <c r="E19" s="262">
        <f>+F14</f>
        <v>0.105</v>
      </c>
      <c r="F19" s="388">
        <f>E19*D19</f>
        <v>5.3317505862032766E-2</v>
      </c>
      <c r="G19" s="388"/>
      <c r="H19" s="269"/>
      <c r="I19" s="269"/>
      <c r="J19" s="256"/>
      <c r="K19" s="271"/>
      <c r="L19" s="272"/>
      <c r="M19" s="389" t="str">
        <f>"True-up Adjustment For "&amp;M16&amp;""</f>
        <v>True-up Adjustment For 2020</v>
      </c>
      <c r="N19" s="390">
        <f>+N18-N17</f>
        <v>634841.72516180854</v>
      </c>
      <c r="O19" s="390">
        <f>+O18-O17</f>
        <v>634841.72516180854</v>
      </c>
      <c r="P19" s="391">
        <f>+P18-P17</f>
        <v>0</v>
      </c>
      <c r="Q19" s="271"/>
      <c r="R19" s="243"/>
      <c r="S19" s="233"/>
    </row>
    <row r="20" spans="3:19" ht="12.5">
      <c r="C20" s="248"/>
      <c r="D20" s="249"/>
      <c r="E20" s="280" t="s">
        <v>14</v>
      </c>
      <c r="F20" s="382">
        <f>SUM(F17:F19)</f>
        <v>7.426366919852273E-2</v>
      </c>
      <c r="G20" s="382"/>
      <c r="H20" s="392"/>
      <c r="I20" s="269"/>
      <c r="J20" s="270"/>
      <c r="K20" s="271"/>
      <c r="L20" s="272"/>
      <c r="M20" s="195"/>
      <c r="N20" s="281" t="str">
        <f>IF(ROUND(N19,0)=ROUND(SUM('P.001:P.xyz - blank'!M89),0),"","ERROR")</f>
        <v/>
      </c>
      <c r="O20" s="281" t="str">
        <f>IF(ROUND(O19,0)=ROUND(SUM('P.001:P.xyz - blank'!N89),0),"","ERROR")</f>
        <v/>
      </c>
      <c r="P20" s="281" t="str">
        <f>IF(P19=SUM('P.001:P.xyz - blank'!O89),"","ERROR")</f>
        <v/>
      </c>
      <c r="Q20" s="271"/>
      <c r="R20" s="243"/>
      <c r="S20" s="233"/>
    </row>
    <row r="21" spans="3:19" ht="13" thickBot="1">
      <c r="D21" s="282"/>
      <c r="E21" s="282"/>
      <c r="F21" s="269"/>
      <c r="G21" s="269"/>
      <c r="H21" s="269"/>
      <c r="I21" s="269"/>
      <c r="J21" s="269"/>
      <c r="K21" s="283"/>
      <c r="L21" s="393"/>
      <c r="M21" s="394"/>
      <c r="N21" s="395"/>
      <c r="O21" s="395"/>
      <c r="P21" s="279"/>
      <c r="Q21" s="283"/>
      <c r="R21" s="243"/>
      <c r="S21" s="233"/>
    </row>
    <row r="22" spans="3:19" ht="15.5">
      <c r="C22" s="245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2"/>
      <c r="E22" s="282"/>
      <c r="F22" s="284"/>
      <c r="G22" s="284"/>
      <c r="H22" s="269"/>
      <c r="I22" s="249"/>
      <c r="J22" s="269"/>
      <c r="K22" s="283"/>
      <c r="L22" s="269"/>
      <c r="M22" s="269"/>
      <c r="N22" s="269"/>
      <c r="O22" s="269"/>
      <c r="P22" s="269"/>
      <c r="Q22" s="283"/>
      <c r="R22" s="243"/>
      <c r="S22" s="233"/>
    </row>
    <row r="23" spans="3:19" ht="13">
      <c r="C23" s="254"/>
      <c r="D23" s="282"/>
      <c r="E23" s="282"/>
      <c r="F23" s="283"/>
      <c r="G23" s="283"/>
      <c r="H23" s="283"/>
      <c r="I23" s="283"/>
      <c r="J23" s="283"/>
      <c r="K23" s="283"/>
      <c r="L23" s="178" t="s">
        <v>15</v>
      </c>
      <c r="M23" s="283"/>
      <c r="N23" s="283"/>
      <c r="O23" s="283"/>
      <c r="P23" s="283"/>
      <c r="Q23" s="283"/>
      <c r="R23" s="243"/>
      <c r="S23" s="233"/>
    </row>
    <row r="24" spans="3:19" ht="12.5">
      <c r="C24" s="248" t="str">
        <f>S112</f>
        <v xml:space="preserve">   Rate Base  (True-Up TCOS, ln 63)</v>
      </c>
      <c r="D24" s="249"/>
      <c r="E24" s="286">
        <f>R112</f>
        <v>512630474.31529623</v>
      </c>
      <c r="F24" s="287"/>
      <c r="G24" s="287"/>
      <c r="H24" s="283"/>
      <c r="I24" s="283"/>
      <c r="J24" s="283"/>
      <c r="K24" s="283"/>
      <c r="L24" s="148" t="s">
        <v>16</v>
      </c>
      <c r="M24" s="283"/>
      <c r="N24" s="283"/>
      <c r="O24" s="283"/>
      <c r="P24" s="287"/>
      <c r="Q24" s="283"/>
      <c r="R24" s="243"/>
      <c r="S24" s="233"/>
    </row>
    <row r="25" spans="3:19" ht="12.5">
      <c r="C25" s="254" t="s">
        <v>17</v>
      </c>
      <c r="D25" s="251"/>
      <c r="E25" s="288">
        <f>F20</f>
        <v>7.426366919852273E-2</v>
      </c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43"/>
      <c r="S25" s="233"/>
    </row>
    <row r="26" spans="3:19" ht="12.5">
      <c r="C26" s="289" t="s">
        <v>18</v>
      </c>
      <c r="D26" s="289"/>
      <c r="E26" s="270">
        <f>E24*E25</f>
        <v>38069819.96563296</v>
      </c>
      <c r="F26" s="283"/>
      <c r="G26" s="283"/>
      <c r="H26" s="283"/>
      <c r="I26" s="283"/>
      <c r="J26" s="271"/>
      <c r="K26" s="271"/>
      <c r="L26" s="271"/>
      <c r="M26" s="271"/>
      <c r="N26" s="271"/>
      <c r="O26" s="271"/>
      <c r="P26" s="283"/>
      <c r="Q26" s="271"/>
      <c r="R26" s="243"/>
      <c r="S26" s="233"/>
    </row>
    <row r="27" spans="3:19" ht="12.5">
      <c r="C27" s="290"/>
      <c r="D27" s="253"/>
      <c r="E27" s="253"/>
      <c r="F27" s="283"/>
      <c r="G27" s="283"/>
      <c r="H27" s="283"/>
      <c r="I27" s="283"/>
      <c r="J27" s="271"/>
      <c r="K27" s="271"/>
      <c r="L27" s="271"/>
      <c r="M27" s="271"/>
      <c r="N27" s="271"/>
      <c r="O27" s="271"/>
      <c r="P27" s="283"/>
      <c r="Q27" s="271"/>
      <c r="R27" s="243"/>
      <c r="S27" s="233"/>
    </row>
    <row r="28" spans="3:19" ht="15.5">
      <c r="C28" s="245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1"/>
      <c r="E28" s="291"/>
      <c r="F28" s="292"/>
      <c r="G28" s="292"/>
      <c r="H28" s="292"/>
      <c r="I28" s="292"/>
      <c r="J28" s="293"/>
      <c r="K28" s="293"/>
      <c r="L28" s="293"/>
      <c r="M28" s="293"/>
      <c r="N28" s="293"/>
      <c r="O28" s="293"/>
      <c r="P28" s="292"/>
      <c r="Q28" s="293"/>
      <c r="R28" s="243"/>
      <c r="S28" s="233"/>
    </row>
    <row r="29" spans="3:19" ht="12.5">
      <c r="C29" s="248"/>
      <c r="D29" s="253"/>
      <c r="E29" s="253"/>
      <c r="F29" s="283"/>
      <c r="G29" s="283"/>
      <c r="H29" s="283"/>
      <c r="I29" s="283"/>
      <c r="J29" s="271"/>
      <c r="K29" s="271"/>
      <c r="L29" s="271"/>
      <c r="M29" s="271"/>
      <c r="N29" s="271">
        <f>+N17-6729904</f>
        <v>1243934.7799099376</v>
      </c>
      <c r="O29" s="271"/>
      <c r="P29" s="283"/>
      <c r="Q29" s="271"/>
      <c r="R29" s="243"/>
      <c r="S29" s="233"/>
    </row>
    <row r="30" spans="3:19" ht="12.5">
      <c r="C30" s="254" t="s">
        <v>19</v>
      </c>
      <c r="D30" s="280"/>
      <c r="E30" s="294">
        <f>E26</f>
        <v>38069819.96563296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43"/>
      <c r="S30" s="233"/>
    </row>
    <row r="31" spans="3:19" ht="12.5">
      <c r="C31" s="248" t="str">
        <f>S113</f>
        <v xml:space="preserve">   Tax Rate  (True-Up TCOS, ln 105)</v>
      </c>
      <c r="D31" s="280"/>
      <c r="E31" s="295">
        <f>R113</f>
        <v>0.25329199999999996</v>
      </c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43"/>
      <c r="S31" s="233"/>
    </row>
    <row r="32" spans="3:19" ht="12.5">
      <c r="C32" s="254" t="s">
        <v>20</v>
      </c>
      <c r="D32" s="241"/>
      <c r="E32" s="256">
        <f>IF(F17&gt;0,($E31/(1-$E31))*(1-$F17/$F20),0)</f>
        <v>0.24353651746717933</v>
      </c>
      <c r="F32" s="233"/>
      <c r="G32" s="233"/>
      <c r="H32" s="233"/>
      <c r="I32" s="242"/>
      <c r="J32" s="233"/>
      <c r="K32" s="243"/>
      <c r="L32" s="233"/>
      <c r="M32" s="233"/>
      <c r="N32" s="233"/>
      <c r="O32" s="233"/>
      <c r="P32" s="233"/>
      <c r="Q32" s="243"/>
      <c r="R32" s="243"/>
      <c r="S32" s="339"/>
    </row>
    <row r="33" spans="2:19" ht="12.5">
      <c r="C33" s="290" t="s">
        <v>21</v>
      </c>
      <c r="D33" s="241"/>
      <c r="E33" s="297">
        <f>E30*E32</f>
        <v>9271391.3750327434</v>
      </c>
      <c r="F33" s="233"/>
      <c r="G33" s="233"/>
      <c r="H33" s="233"/>
      <c r="I33" s="242"/>
      <c r="J33" s="233"/>
      <c r="K33" s="243"/>
      <c r="L33" s="233"/>
      <c r="M33" s="233"/>
      <c r="N33" s="233"/>
      <c r="O33" s="233"/>
      <c r="P33" s="233"/>
      <c r="Q33" s="243"/>
      <c r="R33" s="243"/>
      <c r="S33" s="233"/>
    </row>
    <row r="34" spans="2:19" ht="15.5">
      <c r="C34" s="248" t="str">
        <f>+S114</f>
        <v xml:space="preserve">   ITC Adjustment  (True-Up TCOS, ln 102)</v>
      </c>
      <c r="D34" s="298"/>
      <c r="E34" s="299">
        <f>R114</f>
        <v>-478613.2938319128</v>
      </c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300"/>
      <c r="Q34" s="298"/>
      <c r="R34" s="243"/>
      <c r="S34" s="233"/>
    </row>
    <row r="35" spans="2:19" ht="15.5">
      <c r="C35" s="306" t="str">
        <f>+S115</f>
        <v xml:space="preserve">   Excess DFIT Adjustment  (TCOS, ln 109)</v>
      </c>
      <c r="D35" s="298"/>
      <c r="E35" s="299">
        <f>R115</f>
        <v>-4278665.0203292314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300"/>
      <c r="Q35" s="298"/>
      <c r="R35" s="243"/>
      <c r="S35" s="233"/>
    </row>
    <row r="36" spans="2:19" ht="15.5">
      <c r="C36" s="306" t="str">
        <f>+S116</f>
        <v xml:space="preserve">   Tax Effect of Permanent and Flow Through Differences (TCOS, ln 110)</v>
      </c>
      <c r="D36" s="298"/>
      <c r="E36" s="299">
        <f>R116</f>
        <v>69243.01065476732</v>
      </c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300"/>
      <c r="Q36" s="298"/>
      <c r="R36" s="243"/>
      <c r="S36" s="233"/>
    </row>
    <row r="37" spans="2:19" ht="15.5">
      <c r="C37" s="290" t="s">
        <v>22</v>
      </c>
      <c r="D37" s="298"/>
      <c r="E37" s="299">
        <f>E33+E34+E35+E36</f>
        <v>4583356.0715263663</v>
      </c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301"/>
      <c r="Q37" s="298"/>
      <c r="R37" s="243"/>
      <c r="S37" s="233"/>
    </row>
    <row r="38" spans="2:19" ht="12.75" customHeight="1">
      <c r="C38" s="302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301"/>
      <c r="Q38" s="298"/>
      <c r="R38" s="243"/>
      <c r="S38" s="233"/>
    </row>
    <row r="39" spans="2:19" ht="18">
      <c r="B39" s="303" t="s">
        <v>23</v>
      </c>
      <c r="C39" s="304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301"/>
      <c r="Q39" s="298"/>
      <c r="R39" s="243"/>
      <c r="S39" s="233"/>
    </row>
    <row r="40" spans="2:19" ht="18.75" customHeight="1">
      <c r="B40" s="303"/>
      <c r="C40" s="304" t="str">
        <f>"ROE increase."</f>
        <v>ROE increase.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301"/>
      <c r="Q40" s="298"/>
      <c r="R40" s="243"/>
      <c r="S40" s="233"/>
    </row>
    <row r="41" spans="2:19" ht="12.75" customHeight="1">
      <c r="C41" s="302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301"/>
      <c r="Q41" s="298"/>
      <c r="R41" s="243"/>
      <c r="S41" s="233"/>
    </row>
    <row r="42" spans="2:19" ht="15.5">
      <c r="C42" s="245" t="s">
        <v>24</v>
      </c>
      <c r="D42" s="298"/>
      <c r="E42" s="298"/>
      <c r="F42" s="305"/>
      <c r="G42" s="305"/>
      <c r="H42" s="298"/>
      <c r="I42" s="298"/>
      <c r="J42" s="298"/>
      <c r="K42" s="298"/>
      <c r="L42" s="298"/>
      <c r="M42" s="298"/>
      <c r="N42" s="298"/>
      <c r="O42" s="298"/>
      <c r="P42" s="301"/>
      <c r="Q42" s="298"/>
      <c r="R42" s="243"/>
      <c r="S42" s="233"/>
    </row>
    <row r="43" spans="2:19" ht="12.5">
      <c r="B43" s="233"/>
      <c r="C43" s="306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299"/>
      <c r="Q43" s="307"/>
      <c r="R43" s="243"/>
      <c r="S43" s="233"/>
    </row>
    <row r="44" spans="2:19" ht="12.75" customHeight="1">
      <c r="B44" s="233"/>
      <c r="C44" s="248" t="str">
        <f>S117</f>
        <v xml:space="preserve">   Net Revenue Requirement  (True-Up TCOS, ln 109)</v>
      </c>
      <c r="D44" s="307"/>
      <c r="E44" s="307"/>
      <c r="F44" s="299">
        <f>R117</f>
        <v>98755039.899089605</v>
      </c>
      <c r="G44" s="299"/>
      <c r="H44" s="307"/>
      <c r="I44" s="307"/>
      <c r="J44" s="307"/>
      <c r="K44" s="307"/>
      <c r="L44" s="307"/>
      <c r="M44" s="307"/>
      <c r="N44" s="307"/>
      <c r="O44" s="307"/>
      <c r="P44" s="299"/>
      <c r="Q44" s="307"/>
      <c r="R44" s="243"/>
      <c r="S44" s="233"/>
    </row>
    <row r="45" spans="2:19" ht="12.5">
      <c r="B45" s="233"/>
      <c r="C45" s="248" t="str">
        <f>S118</f>
        <v xml:space="preserve">   Return  (True-Up TCOS, ln 104)</v>
      </c>
      <c r="D45" s="307"/>
      <c r="E45" s="307"/>
      <c r="F45" s="299">
        <f>R118</f>
        <v>38069819.96563296</v>
      </c>
      <c r="G45" s="308"/>
      <c r="H45" s="309"/>
      <c r="I45" s="309"/>
      <c r="J45" s="309"/>
      <c r="K45" s="309"/>
      <c r="L45" s="309"/>
      <c r="M45" s="309"/>
      <c r="N45" s="309"/>
      <c r="O45" s="309"/>
      <c r="P45" s="299"/>
      <c r="Q45" s="309"/>
      <c r="R45" s="243"/>
      <c r="S45" s="233"/>
    </row>
    <row r="46" spans="2:19" ht="12.5">
      <c r="B46" s="233"/>
      <c r="C46" s="248" t="str">
        <f>S119</f>
        <v xml:space="preserve">   Income Taxes  (True-Up TCOS, ln 103)</v>
      </c>
      <c r="D46" s="307"/>
      <c r="E46" s="307"/>
      <c r="F46" s="299">
        <f>R119</f>
        <v>4583356.0715263663</v>
      </c>
      <c r="G46" s="299"/>
      <c r="H46" s="307"/>
      <c r="I46" s="307"/>
      <c r="J46" s="310"/>
      <c r="K46" s="310"/>
      <c r="L46" s="310"/>
      <c r="M46" s="310"/>
      <c r="N46" s="310"/>
      <c r="O46" s="310"/>
      <c r="P46" s="307"/>
      <c r="Q46" s="310"/>
      <c r="R46" s="243"/>
      <c r="S46" s="233"/>
    </row>
    <row r="47" spans="2:19" ht="12.5">
      <c r="B47" s="233"/>
      <c r="C47" s="248" t="str">
        <f>S120</f>
        <v xml:space="preserve">  Gross Margin Taxes  (True-Up TCOS, ln 108)</v>
      </c>
      <c r="D47" s="307"/>
      <c r="E47" s="307"/>
      <c r="F47" s="311">
        <f>R120</f>
        <v>0</v>
      </c>
      <c r="G47" s="299"/>
      <c r="H47" s="307"/>
      <c r="I47" s="307"/>
      <c r="J47" s="310"/>
      <c r="K47" s="310"/>
      <c r="L47" s="310"/>
      <c r="M47" s="310"/>
      <c r="N47" s="310"/>
      <c r="O47" s="310"/>
      <c r="P47" s="307"/>
      <c r="Q47" s="310"/>
      <c r="R47" s="243"/>
      <c r="S47" s="233"/>
    </row>
    <row r="48" spans="2:19" ht="12.5">
      <c r="B48" s="233"/>
      <c r="C48" s="312" t="s">
        <v>25</v>
      </c>
      <c r="D48" s="307"/>
      <c r="E48" s="307"/>
      <c r="F48" s="308">
        <f>F44-F45-F46-F47</f>
        <v>56101863.861930281</v>
      </c>
      <c r="G48" s="308"/>
      <c r="H48" s="313"/>
      <c r="I48" s="307"/>
      <c r="J48" s="313"/>
      <c r="K48" s="313"/>
      <c r="L48" s="313"/>
      <c r="M48" s="313"/>
      <c r="N48" s="313"/>
      <c r="O48" s="313"/>
      <c r="P48" s="313"/>
      <c r="Q48" s="313"/>
      <c r="R48" s="243"/>
      <c r="S48" s="233"/>
    </row>
    <row r="49" spans="2:19" ht="12.5">
      <c r="B49" s="233"/>
      <c r="C49" s="306"/>
      <c r="D49" s="307"/>
      <c r="E49" s="307"/>
      <c r="F49" s="299"/>
      <c r="G49" s="299"/>
      <c r="H49" s="314"/>
      <c r="I49" s="315"/>
      <c r="J49" s="315"/>
      <c r="K49" s="315"/>
      <c r="L49" s="315"/>
      <c r="M49" s="315"/>
      <c r="N49" s="315"/>
      <c r="O49" s="315"/>
      <c r="P49" s="315"/>
      <c r="Q49" s="315"/>
      <c r="R49" s="243"/>
      <c r="S49" s="233"/>
    </row>
    <row r="50" spans="2:19" ht="15.5">
      <c r="B50" s="233"/>
      <c r="C50" s="245" t="str">
        <f>"B.   Determine Net Revenue Requirement with hypothetical "&amp;F13&amp;" basis point increase in ROE."</f>
        <v>B.   Determine Net Revenue Requirement with hypothetical 0 basis point increase in ROE.</v>
      </c>
      <c r="D50" s="316"/>
      <c r="E50" s="316"/>
      <c r="F50" s="299"/>
      <c r="G50" s="299"/>
      <c r="H50" s="314"/>
      <c r="I50" s="315"/>
      <c r="J50" s="315"/>
      <c r="K50" s="315"/>
      <c r="L50" s="315"/>
      <c r="M50" s="315"/>
      <c r="N50" s="315"/>
      <c r="O50" s="315"/>
      <c r="P50" s="315"/>
      <c r="Q50" s="315"/>
      <c r="R50" s="243"/>
      <c r="S50" s="233"/>
    </row>
    <row r="51" spans="2:19" ht="12.5">
      <c r="B51" s="233"/>
      <c r="C51" s="306"/>
      <c r="D51" s="316"/>
      <c r="E51" s="316"/>
      <c r="F51" s="299"/>
      <c r="G51" s="299"/>
      <c r="H51" s="314"/>
      <c r="I51" s="315"/>
      <c r="J51" s="315"/>
      <c r="K51" s="315"/>
      <c r="L51" s="315"/>
      <c r="M51" s="315"/>
      <c r="N51" s="315"/>
      <c r="O51" s="315"/>
      <c r="P51" s="315"/>
      <c r="Q51" s="315"/>
      <c r="R51" s="243"/>
      <c r="S51" s="233"/>
    </row>
    <row r="52" spans="2:19" ht="13">
      <c r="B52" s="233"/>
      <c r="C52" s="306" t="str">
        <f>C48</f>
        <v xml:space="preserve">   Net Revenue Requirement, Less Return and Taxes</v>
      </c>
      <c r="D52" s="316"/>
      <c r="E52" s="316"/>
      <c r="F52" s="299">
        <f>F48</f>
        <v>56101863.861930281</v>
      </c>
      <c r="G52" s="299"/>
      <c r="H52" s="307"/>
      <c r="I52" s="307"/>
      <c r="J52" s="307"/>
      <c r="K52" s="307"/>
      <c r="L52" s="307"/>
      <c r="M52" s="307"/>
      <c r="N52" s="307"/>
      <c r="O52" s="307"/>
      <c r="P52" s="319"/>
      <c r="Q52" s="307"/>
      <c r="R52" s="243"/>
      <c r="S52" s="233"/>
    </row>
    <row r="53" spans="2:19" ht="13">
      <c r="B53" s="233"/>
      <c r="C53" s="254" t="s">
        <v>103</v>
      </c>
      <c r="D53" s="321"/>
      <c r="E53" s="312"/>
      <c r="F53" s="322">
        <f>E26</f>
        <v>38069819.96563296</v>
      </c>
      <c r="G53" s="322"/>
      <c r="H53" s="312"/>
      <c r="I53" s="323"/>
      <c r="J53" s="312"/>
      <c r="K53" s="312"/>
      <c r="L53" s="312"/>
      <c r="M53" s="312"/>
      <c r="N53" s="312"/>
      <c r="O53" s="312"/>
      <c r="P53" s="312"/>
      <c r="Q53" s="312"/>
      <c r="R53" s="243"/>
      <c r="S53" s="233"/>
    </row>
    <row r="54" spans="2:19" ht="12.75" customHeight="1">
      <c r="B54" s="233"/>
      <c r="C54" s="248" t="s">
        <v>26</v>
      </c>
      <c r="D54" s="307"/>
      <c r="E54" s="307"/>
      <c r="F54" s="396">
        <f>E37</f>
        <v>4583356.0715263663</v>
      </c>
      <c r="G54" s="324"/>
      <c r="H54" s="233"/>
      <c r="I54" s="242"/>
      <c r="J54" s="233"/>
      <c r="K54" s="243"/>
      <c r="L54" s="233"/>
      <c r="M54" s="233"/>
      <c r="N54" s="233"/>
      <c r="O54" s="233"/>
      <c r="P54" s="233"/>
      <c r="Q54" s="243"/>
      <c r="R54" s="243"/>
      <c r="S54" s="233"/>
    </row>
    <row r="55" spans="2:19" ht="12.5">
      <c r="B55" s="233"/>
      <c r="C55" s="312" t="str">
        <f>"   Net Revenue Requirement, with "&amp;F13&amp;" Basis Point ROE increase"</f>
        <v xml:space="preserve">   Net Revenue Requirement, with 0 Basis Point ROE increase</v>
      </c>
      <c r="D55" s="241"/>
      <c r="E55" s="233"/>
      <c r="F55" s="297">
        <f>SUM(F52:F54)</f>
        <v>98755039.899089605</v>
      </c>
      <c r="G55" s="297"/>
      <c r="H55" s="233"/>
      <c r="I55" s="242"/>
      <c r="J55" s="233"/>
      <c r="K55" s="243"/>
      <c r="L55" s="233"/>
      <c r="M55" s="233"/>
      <c r="N55" s="233"/>
      <c r="O55" s="233"/>
      <c r="P55" s="233"/>
      <c r="Q55" s="243"/>
      <c r="R55" s="243"/>
      <c r="S55" s="233"/>
    </row>
    <row r="56" spans="2:19" ht="12.5">
      <c r="B56" s="233"/>
      <c r="C56" s="325" t="str">
        <f>"   Gross Margin Tax with "&amp;F13&amp;" Basis Point ROE Increase (II C. below)"</f>
        <v xml:space="preserve">   Gross Margin Tax with 0 Basis Point ROE Increase (II C. below)</v>
      </c>
      <c r="D56" s="326"/>
      <c r="E56" s="326"/>
      <c r="F56" s="327">
        <f>+F71</f>
        <v>0</v>
      </c>
      <c r="G56" s="322"/>
      <c r="H56" s="233"/>
      <c r="I56" s="242"/>
      <c r="J56" s="233"/>
      <c r="K56" s="243"/>
      <c r="L56" s="233"/>
      <c r="M56" s="233"/>
      <c r="N56" s="233"/>
      <c r="O56" s="233"/>
      <c r="P56" s="233"/>
      <c r="Q56" s="243"/>
      <c r="R56" s="243"/>
      <c r="S56" s="233"/>
    </row>
    <row r="57" spans="2:19" ht="12.5">
      <c r="B57" s="233"/>
      <c r="C57" s="312" t="s">
        <v>27</v>
      </c>
      <c r="D57" s="241"/>
      <c r="E57" s="233"/>
      <c r="F57" s="328">
        <f>+F55+F56</f>
        <v>98755039.899089605</v>
      </c>
      <c r="G57" s="328"/>
      <c r="H57" s="233"/>
      <c r="I57" s="242"/>
      <c r="J57" s="233"/>
      <c r="K57" s="243"/>
      <c r="L57" s="233"/>
      <c r="M57" s="233"/>
      <c r="N57" s="233"/>
      <c r="O57" s="233"/>
      <c r="P57" s="233"/>
      <c r="Q57" s="243"/>
      <c r="R57" s="243"/>
      <c r="S57" s="233"/>
    </row>
    <row r="58" spans="2:19" ht="12.5">
      <c r="B58" s="233"/>
      <c r="C58" s="248" t="str">
        <f>S121</f>
        <v xml:space="preserve">   Less: Depreciation  (True-Up TCOS, ln 82)</v>
      </c>
      <c r="D58" s="241"/>
      <c r="E58" s="233"/>
      <c r="F58" s="329">
        <f>R121</f>
        <v>20922487.635063626</v>
      </c>
      <c r="G58" s="329"/>
      <c r="H58" s="233"/>
      <c r="I58" s="242"/>
      <c r="J58" s="233"/>
      <c r="K58" s="243"/>
      <c r="L58" s="233"/>
      <c r="M58" s="233"/>
      <c r="N58" s="233"/>
      <c r="O58" s="233"/>
      <c r="P58" s="233"/>
      <c r="Q58" s="243"/>
      <c r="R58" s="243"/>
      <c r="S58" s="233"/>
    </row>
    <row r="59" spans="2:19" ht="12.5">
      <c r="B59" s="233"/>
      <c r="C59" s="312" t="str">
        <f>"   Net Rev. Req, w/"&amp;F13&amp;" Basis Point ROE increase, less Depreciation"</f>
        <v xml:space="preserve">   Net Rev. Req, w/0 Basis Point ROE increase, less Depreciation</v>
      </c>
      <c r="D59" s="241"/>
      <c r="E59" s="233"/>
      <c r="F59" s="297">
        <f>F57-F58</f>
        <v>77832552.264025986</v>
      </c>
      <c r="G59" s="297"/>
      <c r="H59" s="233"/>
      <c r="I59" s="242"/>
      <c r="J59" s="233"/>
      <c r="K59" s="243"/>
      <c r="L59" s="233"/>
      <c r="M59" s="233"/>
      <c r="N59" s="233"/>
      <c r="O59" s="233"/>
      <c r="P59" s="233"/>
      <c r="Q59" s="243"/>
      <c r="R59" s="243"/>
      <c r="S59" s="233"/>
    </row>
    <row r="60" spans="2:19" ht="12.5">
      <c r="B60" s="233"/>
      <c r="C60" s="233"/>
      <c r="D60" s="241"/>
      <c r="E60" s="233"/>
      <c r="F60" s="233"/>
      <c r="G60" s="233"/>
      <c r="H60" s="233"/>
      <c r="I60" s="242"/>
      <c r="J60" s="233"/>
      <c r="K60" s="243"/>
      <c r="L60" s="233"/>
      <c r="M60" s="233"/>
      <c r="N60" s="233"/>
      <c r="O60" s="233"/>
      <c r="P60" s="233"/>
      <c r="Q60" s="243"/>
      <c r="R60" s="243"/>
      <c r="S60" s="233"/>
    </row>
    <row r="61" spans="2:19" ht="15.5">
      <c r="B61" s="233"/>
      <c r="C61" s="331" t="str">
        <f>"C.   Determine Gross Margin Tax with hypothetical "&amp;F13&amp;" basis point increase in ROE."</f>
        <v>C.   Determine Gross Margin Tax with hypothetical 0 basis point increase in ROE.</v>
      </c>
      <c r="D61" s="332"/>
      <c r="E61" s="332"/>
      <c r="F61" s="333"/>
      <c r="G61" s="333"/>
      <c r="H61" s="330"/>
      <c r="I61" s="242"/>
      <c r="J61" s="233"/>
      <c r="K61" s="243"/>
      <c r="L61" s="233"/>
      <c r="M61" s="233"/>
      <c r="N61" s="233"/>
      <c r="O61" s="233"/>
      <c r="P61" s="233"/>
      <c r="Q61" s="243"/>
      <c r="R61" s="243"/>
      <c r="S61" s="233"/>
    </row>
    <row r="62" spans="2:19" ht="12.5">
      <c r="B62" s="233"/>
      <c r="C62" s="325" t="str">
        <f>"   Net Revenue Requirement before Gross Margin Taxes, with "&amp;F13&amp;" "</f>
        <v xml:space="preserve">   Net Revenue Requirement before Gross Margin Taxes, with 0 </v>
      </c>
      <c r="D62" s="332"/>
      <c r="E62" s="332"/>
      <c r="F62" s="333">
        <f>+F55</f>
        <v>98755039.899089605</v>
      </c>
      <c r="G62" s="333"/>
      <c r="H62" s="330"/>
      <c r="I62" s="242"/>
      <c r="J62" s="233"/>
      <c r="K62" s="243"/>
      <c r="L62" s="233"/>
      <c r="M62" s="233"/>
      <c r="N62" s="233"/>
      <c r="O62" s="233"/>
      <c r="P62" s="233"/>
      <c r="Q62" s="243"/>
      <c r="R62" s="243"/>
      <c r="S62" s="233"/>
    </row>
    <row r="63" spans="2:19" ht="12.5">
      <c r="B63" s="233"/>
      <c r="C63" s="325" t="s">
        <v>28</v>
      </c>
      <c r="D63" s="332"/>
      <c r="E63" s="332"/>
      <c r="F63" s="333"/>
      <c r="G63" s="333"/>
      <c r="H63" s="330"/>
      <c r="I63" s="242"/>
      <c r="J63" s="233"/>
      <c r="K63" s="243"/>
      <c r="L63" s="233"/>
      <c r="M63" s="233"/>
      <c r="N63" s="233"/>
      <c r="O63" s="233"/>
      <c r="P63" s="233"/>
      <c r="Q63" s="243"/>
      <c r="R63" s="243"/>
      <c r="S63" s="233"/>
    </row>
    <row r="64" spans="2:19" ht="12.5">
      <c r="B64" s="233"/>
      <c r="C64" s="312" t="str">
        <f>S122</f>
        <v xml:space="preserve">       Apportionment Factor to Texas (Worksheet K, ln 12)</v>
      </c>
      <c r="D64" s="296"/>
      <c r="E64" s="330"/>
      <c r="F64" s="335">
        <f>R122</f>
        <v>0</v>
      </c>
      <c r="G64" s="397"/>
      <c r="H64" s="330"/>
      <c r="I64" s="242"/>
      <c r="J64" s="233"/>
      <c r="K64" s="243"/>
      <c r="L64" s="233"/>
      <c r="M64" s="233"/>
      <c r="N64" s="233"/>
      <c r="O64" s="233"/>
      <c r="P64" s="233"/>
      <c r="Q64" s="243"/>
      <c r="R64" s="243"/>
      <c r="S64" s="233"/>
    </row>
    <row r="65" spans="2:19" ht="12.5">
      <c r="B65" s="233"/>
      <c r="C65" s="312" t="s">
        <v>29</v>
      </c>
      <c r="D65" s="296"/>
      <c r="E65" s="330"/>
      <c r="F65" s="333">
        <f>+F64*F62</f>
        <v>0</v>
      </c>
      <c r="G65" s="333"/>
      <c r="H65" s="330"/>
      <c r="I65" s="242"/>
      <c r="J65" s="233"/>
      <c r="K65" s="243"/>
      <c r="L65" s="233"/>
      <c r="M65" s="233"/>
      <c r="N65" s="233"/>
      <c r="O65" s="233"/>
      <c r="P65" s="233"/>
      <c r="Q65" s="243"/>
      <c r="R65" s="243"/>
      <c r="S65" s="233"/>
    </row>
    <row r="66" spans="2:19" ht="12.5">
      <c r="B66" s="233"/>
      <c r="C66" s="312" t="str">
        <f>+PSO.WS.F.BPU.ATRR.Projected!C66</f>
        <v xml:space="preserve">       Taxable Percentage of Revenue (22%)</v>
      </c>
      <c r="D66" s="296"/>
      <c r="E66" s="330"/>
      <c r="F66" s="336">
        <f>+PSO.WS.F.BPU.ATRR.Projected!F66</f>
        <v>0.22</v>
      </c>
      <c r="G66" s="398"/>
      <c r="H66" s="330"/>
      <c r="I66" s="242"/>
      <c r="J66" s="233"/>
      <c r="K66" s="243"/>
      <c r="L66" s="233"/>
      <c r="M66" s="233"/>
      <c r="N66" s="233"/>
      <c r="O66" s="233"/>
      <c r="P66" s="233"/>
      <c r="Q66" s="243"/>
      <c r="R66" s="243"/>
      <c r="S66" s="233"/>
    </row>
    <row r="67" spans="2:19" ht="12.5">
      <c r="B67" s="233"/>
      <c r="C67" s="312" t="s">
        <v>30</v>
      </c>
      <c r="D67" s="296"/>
      <c r="E67" s="330"/>
      <c r="F67" s="333">
        <f>+F65*F66</f>
        <v>0</v>
      </c>
      <c r="G67" s="333"/>
      <c r="H67" s="330"/>
      <c r="I67" s="242"/>
      <c r="J67" s="233"/>
      <c r="K67" s="243"/>
      <c r="L67" s="233"/>
      <c r="M67" s="233"/>
      <c r="N67" s="233"/>
      <c r="O67" s="233"/>
      <c r="P67" s="233"/>
      <c r="Q67" s="243"/>
      <c r="R67" s="243"/>
      <c r="S67" s="233"/>
    </row>
    <row r="68" spans="2:19" ht="12.5">
      <c r="B68" s="233"/>
      <c r="C68" s="312" t="s">
        <v>31</v>
      </c>
      <c r="D68" s="296"/>
      <c r="E68" s="330"/>
      <c r="F68" s="336">
        <v>0.01</v>
      </c>
      <c r="G68" s="398"/>
      <c r="H68" s="330"/>
      <c r="I68" s="242"/>
      <c r="J68" s="233"/>
      <c r="K68" s="243"/>
      <c r="L68" s="233"/>
      <c r="M68" s="233"/>
      <c r="N68" s="233"/>
      <c r="O68" s="233"/>
      <c r="P68" s="233"/>
      <c r="Q68" s="243"/>
      <c r="R68" s="243"/>
      <c r="S68" s="233"/>
    </row>
    <row r="69" spans="2:19" ht="12.5">
      <c r="B69" s="233"/>
      <c r="C69" s="312" t="s">
        <v>32</v>
      </c>
      <c r="D69" s="296"/>
      <c r="E69" s="330"/>
      <c r="F69" s="333">
        <f>+F67*F68</f>
        <v>0</v>
      </c>
      <c r="G69" s="333"/>
      <c r="H69" s="330"/>
      <c r="I69" s="242"/>
      <c r="J69" s="233"/>
      <c r="K69" s="243"/>
      <c r="L69" s="233"/>
      <c r="M69" s="233"/>
      <c r="N69" s="233"/>
      <c r="O69" s="233"/>
      <c r="P69" s="233"/>
      <c r="Q69" s="243"/>
      <c r="R69" s="243"/>
      <c r="S69" s="233"/>
    </row>
    <row r="70" spans="2:19" ht="12.5">
      <c r="B70" s="233"/>
      <c r="C70" s="312" t="s">
        <v>33</v>
      </c>
      <c r="D70" s="296"/>
      <c r="E70" s="330"/>
      <c r="F70" s="337">
        <f>+ROUND((F69*F66*F64)/(1-F68)*F68,0)</f>
        <v>0</v>
      </c>
      <c r="G70" s="399"/>
      <c r="H70" s="330"/>
      <c r="I70" s="242"/>
      <c r="J70" s="233"/>
      <c r="K70" s="243"/>
      <c r="L70" s="233"/>
      <c r="M70" s="233"/>
      <c r="N70" s="233"/>
      <c r="O70" s="233"/>
      <c r="P70" s="233"/>
      <c r="Q70" s="243"/>
      <c r="R70" s="243"/>
      <c r="S70" s="233"/>
    </row>
    <row r="71" spans="2:19" ht="12.5">
      <c r="B71" s="233"/>
      <c r="C71" s="312" t="s">
        <v>34</v>
      </c>
      <c r="D71" s="296"/>
      <c r="E71" s="330"/>
      <c r="F71" s="333">
        <f>+F69+F70</f>
        <v>0</v>
      </c>
      <c r="G71" s="333"/>
      <c r="H71" s="330"/>
      <c r="I71" s="242"/>
      <c r="J71" s="233"/>
      <c r="K71" s="243"/>
      <c r="L71" s="233"/>
      <c r="M71" s="233"/>
      <c r="N71" s="233"/>
      <c r="O71" s="233"/>
      <c r="P71" s="233"/>
      <c r="Q71" s="243"/>
      <c r="R71" s="243"/>
      <c r="S71" s="233"/>
    </row>
    <row r="72" spans="2:19" ht="12.5">
      <c r="B72" s="233"/>
      <c r="C72" s="233"/>
      <c r="D72" s="241"/>
      <c r="E72" s="233"/>
      <c r="F72" s="233"/>
      <c r="G72" s="233"/>
      <c r="H72" s="233"/>
      <c r="I72" s="242"/>
      <c r="J72" s="233"/>
      <c r="K72" s="243"/>
      <c r="L72" s="233"/>
      <c r="M72" s="233"/>
      <c r="N72" s="233"/>
      <c r="O72" s="233"/>
      <c r="P72" s="233"/>
      <c r="Q72" s="243"/>
      <c r="R72" s="243"/>
      <c r="S72" s="233"/>
    </row>
    <row r="73" spans="2:19" ht="15.5">
      <c r="B73" s="233"/>
      <c r="C73" s="245" t="str">
        <f>"D.   Determine FCR with hypothetical "&amp;F13&amp;" basis point ROE increase."</f>
        <v>D.   Determine FCR with hypothetical 0 basis point ROE increase.</v>
      </c>
      <c r="D73" s="241"/>
      <c r="E73" s="233"/>
      <c r="F73" s="233"/>
      <c r="G73" s="233"/>
      <c r="H73" s="233"/>
      <c r="I73" s="217"/>
      <c r="J73" s="233"/>
      <c r="K73" s="243"/>
      <c r="L73" s="233"/>
      <c r="M73" s="233"/>
      <c r="N73" s="233"/>
      <c r="O73" s="233"/>
      <c r="P73" s="233"/>
      <c r="Q73" s="243"/>
      <c r="R73" s="243"/>
      <c r="S73" s="233"/>
    </row>
    <row r="74" spans="2:19" ht="12.5">
      <c r="B74" s="233"/>
      <c r="C74" s="233"/>
      <c r="D74" s="241"/>
      <c r="E74" s="233"/>
      <c r="F74" s="233"/>
      <c r="G74" s="233"/>
      <c r="H74" s="233"/>
      <c r="I74" s="242"/>
      <c r="J74" s="233"/>
      <c r="K74" s="243"/>
      <c r="L74" s="233"/>
      <c r="M74" s="233"/>
      <c r="N74" s="233"/>
      <c r="O74" s="233"/>
      <c r="P74" s="233"/>
      <c r="Q74" s="243"/>
      <c r="R74" s="243"/>
      <c r="S74" s="233"/>
    </row>
    <row r="75" spans="2:19" ht="12.5">
      <c r="B75" s="233"/>
      <c r="C75" s="306" t="str">
        <f>S123</f>
        <v xml:space="preserve">   Net Transmission Plant  (True-Up TCOS, ln 39)</v>
      </c>
      <c r="D75" s="241"/>
      <c r="E75" s="233"/>
      <c r="F75" s="297">
        <f>R123</f>
        <v>675059914.9022702</v>
      </c>
      <c r="G75" s="297"/>
      <c r="I75" s="217"/>
      <c r="J75" s="233"/>
      <c r="K75" s="243"/>
      <c r="L75" s="233"/>
      <c r="M75" s="233"/>
      <c r="N75" s="233"/>
      <c r="O75" s="233"/>
      <c r="P75" s="233"/>
      <c r="Q75" s="243"/>
      <c r="R75" s="243"/>
      <c r="S75" s="233"/>
    </row>
    <row r="76" spans="2:19" ht="14">
      <c r="B76" s="233"/>
      <c r="C76" s="312" t="str">
        <f>"   Net Revenue Requirement, with "&amp;F13&amp;" Basis Point ROE increase"</f>
        <v xml:space="preserve">   Net Revenue Requirement, with 0 Basis Point ROE increase</v>
      </c>
      <c r="D76" s="241"/>
      <c r="E76" s="233"/>
      <c r="F76" s="400">
        <f>+F57</f>
        <v>98755039.899089605</v>
      </c>
      <c r="G76" s="400"/>
      <c r="I76" s="217"/>
      <c r="J76" s="233"/>
      <c r="K76" s="243"/>
      <c r="L76" s="233"/>
      <c r="M76" s="233"/>
      <c r="N76" s="233"/>
      <c r="O76" s="233"/>
      <c r="P76" s="233"/>
      <c r="Q76" s="243"/>
      <c r="R76" s="243"/>
      <c r="S76" s="233"/>
    </row>
    <row r="77" spans="2:19" ht="12.5">
      <c r="B77" s="233"/>
      <c r="C77" s="312" t="str">
        <f>"   FCR with "&amp;F13&amp;" Basis Point increase in ROE"</f>
        <v xml:space="preserve">   FCR with 0 Basis Point increase in ROE</v>
      </c>
      <c r="D77" s="241"/>
      <c r="E77" s="233"/>
      <c r="F77" s="339">
        <f>IF(F75=0,0,F76/F75)</f>
        <v>0.14629077763177004</v>
      </c>
      <c r="G77" s="339"/>
      <c r="I77" s="217"/>
      <c r="J77" s="233"/>
      <c r="K77" s="243"/>
      <c r="L77" s="233"/>
      <c r="M77" s="233"/>
      <c r="N77" s="233"/>
      <c r="O77" s="233"/>
      <c r="P77" s="233"/>
      <c r="Q77" s="243"/>
      <c r="R77" s="243"/>
      <c r="S77" s="233"/>
    </row>
    <row r="78" spans="2:19" ht="12.5">
      <c r="B78" s="233"/>
      <c r="D78" s="241"/>
      <c r="E78" s="233"/>
      <c r="F78" s="330"/>
      <c r="G78" s="330"/>
      <c r="H78" s="401"/>
      <c r="I78" s="217"/>
      <c r="J78" s="233"/>
      <c r="K78" s="243"/>
      <c r="L78" s="233"/>
      <c r="M78" s="233"/>
      <c r="N78" s="233"/>
      <c r="O78" s="233"/>
      <c r="P78" s="233"/>
      <c r="Q78" s="243"/>
      <c r="R78" s="243"/>
      <c r="S78" s="233"/>
    </row>
    <row r="79" spans="2:19" ht="12.5">
      <c r="B79" s="233"/>
      <c r="C79" s="312" t="str">
        <f>"   Net Rev. Req, w / "&amp;F13&amp;" Basis Point ROE increase, less Dep."</f>
        <v xml:space="preserve">   Net Rev. Req, w / 0 Basis Point ROE increase, less Dep.</v>
      </c>
      <c r="D79" s="241"/>
      <c r="E79" s="233"/>
      <c r="F79" s="297">
        <f>+F59</f>
        <v>77832552.264025986</v>
      </c>
      <c r="G79" s="297"/>
      <c r="I79" s="217"/>
      <c r="J79" s="233"/>
      <c r="K79" s="243"/>
      <c r="L79" s="233"/>
      <c r="M79" s="233"/>
      <c r="N79" s="233"/>
      <c r="O79" s="233"/>
      <c r="P79" s="233"/>
      <c r="Q79" s="243"/>
      <c r="R79" s="243"/>
      <c r="S79" s="233"/>
    </row>
    <row r="80" spans="2:19" ht="12.5">
      <c r="B80" s="233"/>
      <c r="C80" s="312" t="str">
        <f>"   FCR with "&amp;F13&amp;" Basis Point ROE increase, less Depreciation"</f>
        <v xml:space="preserve">   FCR with 0 Basis Point ROE increase, less Depreciation</v>
      </c>
      <c r="D80" s="241"/>
      <c r="E80" s="233"/>
      <c r="F80" s="339">
        <f>IF(F75=0,0,F79/F75)</f>
        <v>0.11529725072669136</v>
      </c>
      <c r="G80" s="339"/>
      <c r="H80" s="246"/>
      <c r="I80" s="217"/>
      <c r="J80" s="233"/>
      <c r="K80" s="243"/>
      <c r="L80" s="233"/>
      <c r="M80" s="233"/>
      <c r="N80" s="233"/>
      <c r="O80" s="233"/>
      <c r="P80" s="233"/>
      <c r="Q80" s="243"/>
      <c r="R80" s="243"/>
      <c r="S80" s="233"/>
    </row>
    <row r="81" spans="2:19" ht="12.5">
      <c r="B81" s="233"/>
      <c r="C81" s="306" t="str">
        <f>S124</f>
        <v xml:space="preserve">   FCR less Depreciation  (True-Up TCOS, ln 12)</v>
      </c>
      <c r="D81" s="241"/>
      <c r="E81" s="233"/>
      <c r="F81" s="340">
        <f>R124</f>
        <v>0.11529725072669136</v>
      </c>
      <c r="G81" s="340"/>
      <c r="H81" s="402"/>
      <c r="I81" s="217"/>
      <c r="J81" s="233"/>
      <c r="K81" s="243"/>
      <c r="L81" s="233"/>
      <c r="M81" s="233"/>
      <c r="N81" s="233"/>
      <c r="O81" s="233"/>
      <c r="P81" s="233"/>
      <c r="Q81" s="243"/>
      <c r="R81" s="243"/>
      <c r="S81" s="233"/>
    </row>
    <row r="82" spans="2:19" ht="12.5">
      <c r="B82" s="233"/>
      <c r="C82" s="312" t="str">
        <f>"   Incremental FCR with "&amp;F13&amp;" Basis Point ROE increase, less Depreciation"</f>
        <v xml:space="preserve">   Incremental FCR with 0 Basis Point ROE increase, less Depreciation</v>
      </c>
      <c r="D82" s="241"/>
      <c r="E82" s="233"/>
      <c r="F82" s="339">
        <f>F80-F81</f>
        <v>0</v>
      </c>
      <c r="G82" s="339"/>
      <c r="I82" s="217"/>
      <c r="J82" s="233"/>
      <c r="K82" s="243"/>
      <c r="L82" s="233"/>
      <c r="M82" s="233"/>
      <c r="N82" s="233"/>
      <c r="O82" s="233"/>
      <c r="P82" s="233"/>
      <c r="Q82" s="243"/>
      <c r="R82" s="243"/>
      <c r="S82" s="233"/>
    </row>
    <row r="83" spans="2:19" ht="12.5">
      <c r="B83" s="233"/>
      <c r="C83" s="312"/>
      <c r="D83" s="241"/>
      <c r="E83" s="233"/>
      <c r="F83" s="339"/>
      <c r="G83" s="339"/>
      <c r="H83" s="233"/>
      <c r="I83" s="242"/>
      <c r="J83" s="233"/>
      <c r="K83" s="243"/>
      <c r="L83" s="233"/>
      <c r="M83" s="233"/>
      <c r="N83" s="233"/>
      <c r="O83" s="233"/>
      <c r="P83" s="233"/>
      <c r="Q83" s="243"/>
      <c r="R83" s="243"/>
      <c r="S83" s="233"/>
    </row>
    <row r="84" spans="2:19" ht="18">
      <c r="B84" s="303" t="s">
        <v>35</v>
      </c>
      <c r="C84" s="304" t="s">
        <v>36</v>
      </c>
      <c r="D84" s="241"/>
      <c r="E84" s="233"/>
      <c r="F84" s="339"/>
      <c r="G84" s="339"/>
      <c r="H84" s="233"/>
      <c r="I84" s="242"/>
      <c r="J84" s="233"/>
      <c r="K84" s="243"/>
      <c r="L84" s="233"/>
      <c r="M84" s="233"/>
      <c r="N84" s="233"/>
      <c r="O84" s="233"/>
      <c r="P84" s="233"/>
      <c r="Q84" s="243"/>
      <c r="R84" s="243"/>
      <c r="S84" s="233"/>
    </row>
    <row r="85" spans="2:19" ht="12.75" customHeight="1">
      <c r="B85" s="303"/>
      <c r="C85" s="304"/>
      <c r="D85" s="241"/>
      <c r="E85" s="233"/>
      <c r="F85" s="339"/>
      <c r="G85" s="339"/>
      <c r="H85" s="233"/>
      <c r="I85" s="242"/>
      <c r="J85" s="233"/>
      <c r="K85" s="243"/>
      <c r="L85" s="233"/>
      <c r="M85" s="233"/>
      <c r="N85" s="233"/>
      <c r="O85" s="233"/>
      <c r="P85" s="233"/>
      <c r="Q85" s="243"/>
      <c r="R85" s="243"/>
      <c r="S85" s="233"/>
    </row>
    <row r="86" spans="2:19" ht="12.75" customHeight="1">
      <c r="B86" s="303"/>
      <c r="C86" s="312" t="s">
        <v>37</v>
      </c>
      <c r="D86" s="241"/>
      <c r="F86" s="334">
        <f>R125</f>
        <v>948661097</v>
      </c>
      <c r="G86" s="233" t="s">
        <v>283</v>
      </c>
      <c r="I86" s="242"/>
      <c r="J86" s="233"/>
      <c r="K86" s="243"/>
      <c r="L86" s="233"/>
      <c r="M86" s="233"/>
      <c r="N86" s="233"/>
      <c r="O86" s="233"/>
      <c r="P86" s="233"/>
      <c r="Q86" s="243"/>
      <c r="R86" s="243"/>
      <c r="S86" s="233"/>
    </row>
    <row r="87" spans="2:19" ht="12.75" customHeight="1">
      <c r="B87" s="303"/>
      <c r="C87" s="312" t="s">
        <v>38</v>
      </c>
      <c r="D87" s="241"/>
      <c r="F87" s="341">
        <f>R126</f>
        <v>1069907872</v>
      </c>
      <c r="G87" s="233" t="s">
        <v>283</v>
      </c>
      <c r="I87" s="242"/>
      <c r="J87" s="233"/>
      <c r="K87" s="243"/>
      <c r="L87" s="233"/>
      <c r="M87" s="233"/>
      <c r="N87" s="233"/>
      <c r="O87" s="233"/>
      <c r="P87" s="233"/>
      <c r="Q87" s="243"/>
      <c r="R87" s="243"/>
      <c r="S87" s="233"/>
    </row>
    <row r="88" spans="2:19" ht="12.75" customHeight="1">
      <c r="B88" s="303"/>
      <c r="C88" s="312"/>
      <c r="D88" s="241"/>
      <c r="F88" s="242">
        <f>+F87+F86</f>
        <v>2018568969</v>
      </c>
      <c r="G88" s="242"/>
      <c r="H88" s="233"/>
      <c r="I88" s="242"/>
      <c r="J88" s="233"/>
      <c r="K88" s="243"/>
      <c r="L88" s="233"/>
      <c r="M88" s="233"/>
      <c r="N88" s="233"/>
      <c r="O88" s="233"/>
      <c r="P88" s="233"/>
      <c r="Q88" s="243"/>
      <c r="R88" s="243"/>
      <c r="S88" s="233"/>
    </row>
    <row r="89" spans="2:19" ht="12.5">
      <c r="B89" s="233"/>
      <c r="C89" s="312" t="str">
        <f>+S127</f>
        <v>Transmission Plant Average Balance for 2018</v>
      </c>
      <c r="D89" s="296"/>
      <c r="E89" s="155"/>
      <c r="F89" s="323">
        <f>+F88/2</f>
        <v>1009284484.5</v>
      </c>
      <c r="G89" s="323"/>
      <c r="I89" s="242"/>
      <c r="J89" s="233"/>
      <c r="K89" s="243"/>
      <c r="L89" s="233"/>
      <c r="M89" s="233"/>
      <c r="N89" s="233"/>
      <c r="O89" s="233"/>
      <c r="P89" s="233"/>
      <c r="Q89" s="243"/>
      <c r="R89" s="243"/>
      <c r="S89" s="233"/>
    </row>
    <row r="90" spans="2:19" ht="12.5">
      <c r="B90" s="233"/>
      <c r="C90" s="248" t="str">
        <f>S128</f>
        <v>Annual Depreciation Expense  (True-Up TCOS, ln 82)</v>
      </c>
      <c r="D90" s="296"/>
      <c r="E90" s="330"/>
      <c r="F90" s="323">
        <f>R128</f>
        <v>23222372</v>
      </c>
      <c r="G90" s="323"/>
      <c r="I90" s="242"/>
      <c r="J90" s="233"/>
      <c r="K90" s="243"/>
      <c r="L90" s="233"/>
      <c r="M90" s="233"/>
      <c r="N90" s="233"/>
      <c r="O90" s="233"/>
      <c r="P90" s="233"/>
      <c r="Q90" s="243"/>
      <c r="R90" s="243"/>
      <c r="S90" s="233"/>
    </row>
    <row r="91" spans="2:19" ht="12.5">
      <c r="B91" s="233"/>
      <c r="C91" s="312" t="s">
        <v>39</v>
      </c>
      <c r="D91" s="241"/>
      <c r="E91" s="233"/>
      <c r="F91" s="339">
        <f>IF(F89=0,0,F90/F89)</f>
        <v>2.3008747639179625E-2</v>
      </c>
      <c r="G91" s="339"/>
      <c r="H91" s="233"/>
      <c r="I91" s="343"/>
      <c r="J91" s="233"/>
      <c r="K91" s="243"/>
      <c r="L91" s="233"/>
      <c r="M91" s="233"/>
      <c r="N91" s="233"/>
      <c r="O91" s="233"/>
      <c r="P91" s="233"/>
      <c r="Q91" s="243"/>
      <c r="R91" s="243"/>
      <c r="S91" s="233"/>
    </row>
    <row r="92" spans="2:19" ht="12.5">
      <c r="B92" s="233"/>
      <c r="C92" s="312" t="s">
        <v>40</v>
      </c>
      <c r="D92" s="241"/>
      <c r="E92" s="233"/>
      <c r="F92" s="344">
        <f>IF(F91=0,0,1/F91)</f>
        <v>43.461730976491118</v>
      </c>
      <c r="G92" s="344"/>
      <c r="H92" s="233"/>
      <c r="I92" s="242"/>
      <c r="J92" s="233"/>
      <c r="K92" s="243"/>
      <c r="L92" s="233"/>
      <c r="M92" s="233"/>
      <c r="N92" s="233"/>
      <c r="O92" s="233"/>
      <c r="P92" s="233"/>
      <c r="Q92" s="243"/>
      <c r="R92" s="243"/>
      <c r="S92" s="233"/>
    </row>
    <row r="93" spans="2:19" ht="12.5">
      <c r="B93" s="233"/>
      <c r="C93" s="312" t="s">
        <v>41</v>
      </c>
      <c r="D93" s="241"/>
      <c r="E93" s="233"/>
      <c r="F93" s="345">
        <f>ROUND(F92,0)</f>
        <v>43</v>
      </c>
      <c r="G93" s="345"/>
      <c r="H93" s="233"/>
      <c r="I93" s="242"/>
      <c r="J93" s="233"/>
      <c r="K93" s="243"/>
      <c r="L93" s="233"/>
      <c r="M93" s="233"/>
      <c r="N93" s="233"/>
      <c r="O93" s="233"/>
      <c r="P93" s="233"/>
      <c r="Q93" s="243"/>
      <c r="R93" s="243"/>
      <c r="S93" s="233"/>
    </row>
    <row r="94" spans="2:19" ht="12.5">
      <c r="B94" s="233"/>
      <c r="C94" s="312"/>
      <c r="D94" s="241"/>
      <c r="E94" s="233"/>
      <c r="F94" s="345"/>
      <c r="G94" s="345"/>
      <c r="H94" s="233"/>
      <c r="I94" s="242"/>
      <c r="J94" s="233"/>
      <c r="K94" s="243"/>
      <c r="L94" s="233"/>
      <c r="M94" s="233"/>
      <c r="N94" s="233"/>
      <c r="O94" s="233"/>
      <c r="P94" s="233"/>
      <c r="Q94" s="243"/>
      <c r="R94" s="243"/>
      <c r="S94" s="233"/>
    </row>
    <row r="95" spans="2:19" ht="12.5">
      <c r="B95" s="233"/>
      <c r="C95" s="312"/>
      <c r="D95" s="241"/>
      <c r="E95" s="233"/>
      <c r="F95" s="345"/>
      <c r="G95" s="345"/>
      <c r="H95" s="233"/>
      <c r="I95" s="242"/>
      <c r="J95" s="233"/>
      <c r="K95" s="243"/>
      <c r="L95" s="233"/>
      <c r="M95" s="233"/>
      <c r="N95" s="233"/>
      <c r="O95" s="233"/>
      <c r="P95" s="233"/>
      <c r="Q95" s="243"/>
      <c r="R95" s="243"/>
      <c r="S95" s="233"/>
    </row>
    <row r="96" spans="2:19" ht="12.5">
      <c r="B96" s="233"/>
      <c r="C96" s="312"/>
      <c r="D96" s="241"/>
      <c r="E96" s="233"/>
      <c r="F96" s="345"/>
      <c r="G96" s="345"/>
      <c r="H96" s="233"/>
      <c r="I96" s="242"/>
      <c r="J96" s="233"/>
      <c r="K96" s="243"/>
      <c r="L96" s="233"/>
      <c r="M96" s="233"/>
      <c r="N96" s="233"/>
      <c r="O96" s="233"/>
      <c r="P96" s="233"/>
      <c r="Q96" s="243"/>
      <c r="R96" s="243"/>
      <c r="S96" s="233"/>
    </row>
    <row r="97" spans="3:19" ht="13">
      <c r="C97" s="233"/>
      <c r="D97" s="241"/>
      <c r="E97" s="233"/>
      <c r="F97" s="233"/>
      <c r="G97" s="233"/>
      <c r="H97" s="233"/>
      <c r="I97" s="242"/>
      <c r="J97" s="233"/>
      <c r="K97" s="243"/>
      <c r="L97" s="233"/>
      <c r="M97" s="233"/>
      <c r="N97" s="233"/>
      <c r="O97" s="233"/>
      <c r="P97" s="233"/>
      <c r="Q97" s="243"/>
      <c r="R97" s="350" t="s">
        <v>126</v>
      </c>
      <c r="S97" s="234" t="s">
        <v>132</v>
      </c>
    </row>
    <row r="98" spans="3:19" ht="12.5">
      <c r="C98" s="233"/>
      <c r="D98" s="241"/>
      <c r="E98" s="233"/>
      <c r="F98" s="233"/>
      <c r="G98" s="233"/>
      <c r="H98" s="233"/>
      <c r="I98" s="242"/>
      <c r="J98" s="233"/>
      <c r="K98" s="243"/>
      <c r="L98" s="233"/>
      <c r="M98" s="233"/>
      <c r="N98" s="233"/>
      <c r="O98" s="233"/>
      <c r="P98" s="233"/>
      <c r="Q98" s="243"/>
    </row>
    <row r="99" spans="3:19" ht="13">
      <c r="C99" s="240" t="s">
        <v>122</v>
      </c>
      <c r="J99" s="195"/>
      <c r="L99" s="240" t="s">
        <v>121</v>
      </c>
      <c r="N99" s="233"/>
      <c r="O99" s="233"/>
      <c r="P99" s="233"/>
      <c r="Q99" s="243"/>
    </row>
    <row r="100" spans="3:19" ht="12.5">
      <c r="C100" s="233"/>
      <c r="D100" s="241"/>
      <c r="E100" s="233"/>
      <c r="F100" s="233"/>
      <c r="G100" s="233"/>
      <c r="H100" s="233"/>
      <c r="I100" s="242"/>
      <c r="J100" s="233"/>
      <c r="K100" s="243"/>
      <c r="L100" s="233"/>
      <c r="M100" s="233"/>
      <c r="N100" s="233"/>
      <c r="O100" s="233"/>
      <c r="P100" s="233"/>
      <c r="Q100" s="243"/>
      <c r="S100" s="234" t="s">
        <v>119</v>
      </c>
    </row>
    <row r="101" spans="3:19" ht="13">
      <c r="C101" s="233"/>
      <c r="D101" s="241"/>
      <c r="E101" s="233"/>
      <c r="F101" s="233"/>
      <c r="G101" s="233"/>
      <c r="H101" s="233"/>
      <c r="I101" s="242"/>
      <c r="J101" s="233"/>
      <c r="K101" s="243"/>
      <c r="L101" s="233"/>
      <c r="M101" s="233"/>
      <c r="N101" s="233"/>
      <c r="O101" s="233"/>
      <c r="P101" s="233"/>
      <c r="Q101" s="243"/>
      <c r="R101" s="350" t="s">
        <v>115</v>
      </c>
      <c r="S101" s="204" t="s">
        <v>135</v>
      </c>
    </row>
    <row r="102" spans="3:19" ht="13.5" thickBot="1">
      <c r="C102" s="233"/>
      <c r="D102" s="241"/>
      <c r="E102" s="233"/>
      <c r="F102" s="233"/>
      <c r="G102" s="233"/>
      <c r="H102" s="233"/>
      <c r="I102" s="242"/>
      <c r="J102" s="233"/>
      <c r="K102" s="243"/>
      <c r="L102" s="233"/>
      <c r="M102" s="233"/>
      <c r="N102" s="233"/>
      <c r="O102" s="233"/>
      <c r="P102" s="233"/>
      <c r="Q102" s="243"/>
      <c r="R102" s="351" t="s">
        <v>227</v>
      </c>
    </row>
    <row r="103" spans="3:19" ht="12.5">
      <c r="C103" s="233"/>
      <c r="D103" s="241"/>
      <c r="E103" s="233"/>
      <c r="F103" s="233"/>
      <c r="G103" s="233"/>
      <c r="H103" s="233"/>
      <c r="I103" s="242"/>
      <c r="J103" s="233"/>
      <c r="K103" s="243"/>
      <c r="L103" s="233"/>
      <c r="M103" s="233"/>
      <c r="N103" s="233"/>
      <c r="O103" s="233"/>
      <c r="P103" s="233"/>
      <c r="Q103" s="243"/>
      <c r="R103" s="403" t="s">
        <v>212</v>
      </c>
      <c r="S103" s="404" t="s">
        <v>143</v>
      </c>
    </row>
    <row r="104" spans="3:19" ht="12.5">
      <c r="C104" s="233"/>
      <c r="D104" s="241"/>
      <c r="E104" s="233"/>
      <c r="F104" s="233"/>
      <c r="G104" s="233"/>
      <c r="H104" s="233"/>
      <c r="I104" s="242"/>
      <c r="J104" s="233"/>
      <c r="K104" s="243"/>
      <c r="L104" s="233"/>
      <c r="M104" s="233"/>
      <c r="N104" s="233"/>
      <c r="O104" s="233"/>
      <c r="P104" s="233"/>
      <c r="Q104" s="243"/>
      <c r="R104" s="405">
        <v>2020</v>
      </c>
      <c r="S104" s="273" t="s">
        <v>94</v>
      </c>
    </row>
    <row r="105" spans="3:19" ht="12.5">
      <c r="C105" s="233"/>
      <c r="D105" s="241"/>
      <c r="E105" s="233"/>
      <c r="F105" s="233"/>
      <c r="G105" s="233"/>
      <c r="H105" s="233"/>
      <c r="I105" s="242"/>
      <c r="J105" s="233"/>
      <c r="K105" s="243"/>
      <c r="L105" s="233"/>
      <c r="M105" s="233"/>
      <c r="N105" s="233"/>
      <c r="O105" s="233"/>
      <c r="P105" s="233"/>
      <c r="Q105" s="243"/>
      <c r="R105" s="406">
        <v>0.105</v>
      </c>
      <c r="S105" s="355" t="s">
        <v>314</v>
      </c>
    </row>
    <row r="106" spans="3:19" ht="12.5">
      <c r="C106" s="233"/>
      <c r="D106" s="241"/>
      <c r="E106" s="233"/>
      <c r="F106" s="233"/>
      <c r="G106" s="233"/>
      <c r="H106" s="233"/>
      <c r="I106" s="242"/>
      <c r="J106" s="233"/>
      <c r="K106" s="243"/>
      <c r="L106" s="233"/>
      <c r="M106" s="233"/>
      <c r="N106" s="233"/>
      <c r="O106" s="233"/>
      <c r="P106" s="233"/>
      <c r="Q106" s="243"/>
      <c r="R106" s="407">
        <v>0</v>
      </c>
      <c r="S106" s="355" t="s">
        <v>1</v>
      </c>
    </row>
    <row r="107" spans="3:19" ht="12.5">
      <c r="C107" s="233"/>
      <c r="D107" s="241"/>
      <c r="E107" s="233"/>
      <c r="F107" s="233"/>
      <c r="G107" s="233"/>
      <c r="H107" s="233"/>
      <c r="I107" s="242"/>
      <c r="J107" s="233"/>
      <c r="K107" s="243"/>
      <c r="L107" s="233"/>
      <c r="M107" s="233"/>
      <c r="N107" s="233"/>
      <c r="O107" s="233"/>
      <c r="P107" s="233"/>
      <c r="Q107" s="243"/>
      <c r="R107" s="406">
        <v>0.49221422988540209</v>
      </c>
      <c r="S107" s="359" t="s">
        <v>109</v>
      </c>
    </row>
    <row r="108" spans="3:19" ht="12.5">
      <c r="C108" s="233"/>
      <c r="D108" s="241"/>
      <c r="E108" s="233"/>
      <c r="F108" s="233"/>
      <c r="G108" s="233"/>
      <c r="H108" s="233"/>
      <c r="I108" s="242"/>
      <c r="J108" s="233"/>
      <c r="K108" s="243"/>
      <c r="L108" s="233"/>
      <c r="M108" s="233"/>
      <c r="N108" s="233"/>
      <c r="O108" s="233"/>
      <c r="P108" s="233"/>
      <c r="Q108" s="243"/>
      <c r="R108" s="408">
        <v>4.2554973149327033E-2</v>
      </c>
      <c r="S108" s="359" t="s">
        <v>110</v>
      </c>
    </row>
    <row r="109" spans="3:19" ht="12.5">
      <c r="C109" s="233"/>
      <c r="D109" s="241"/>
      <c r="E109" s="233"/>
      <c r="F109" s="233"/>
      <c r="G109" s="233"/>
      <c r="H109" s="233"/>
      <c r="I109" s="242"/>
      <c r="J109" s="233"/>
      <c r="K109" s="243"/>
      <c r="L109" s="233"/>
      <c r="M109" s="233"/>
      <c r="N109" s="233"/>
      <c r="O109" s="233"/>
      <c r="P109" s="233"/>
      <c r="Q109" s="243"/>
      <c r="R109" s="406">
        <v>0</v>
      </c>
      <c r="S109" s="359" t="s">
        <v>111</v>
      </c>
    </row>
    <row r="110" spans="3:19" ht="12.5">
      <c r="C110" s="233"/>
      <c r="D110" s="241"/>
      <c r="E110" s="233"/>
      <c r="F110" s="233"/>
      <c r="G110" s="233"/>
      <c r="H110" s="233"/>
      <c r="I110" s="242"/>
      <c r="J110" s="233"/>
      <c r="K110" s="243"/>
      <c r="L110" s="233"/>
      <c r="M110" s="233"/>
      <c r="N110" s="233"/>
      <c r="O110" s="233"/>
      <c r="P110" s="233"/>
      <c r="Q110" s="243"/>
      <c r="R110" s="408">
        <v>0</v>
      </c>
      <c r="S110" s="359" t="s">
        <v>112</v>
      </c>
    </row>
    <row r="111" spans="3:19" ht="12.5">
      <c r="C111" s="233"/>
      <c r="D111" s="241"/>
      <c r="E111" s="233"/>
      <c r="F111" s="233"/>
      <c r="G111" s="233"/>
      <c r="H111" s="233"/>
      <c r="I111" s="242"/>
      <c r="J111" s="233"/>
      <c r="K111" s="243"/>
      <c r="L111" s="233"/>
      <c r="M111" s="233"/>
      <c r="N111" s="233"/>
      <c r="O111" s="233"/>
      <c r="P111" s="233"/>
      <c r="Q111" s="243"/>
      <c r="R111" s="406">
        <v>0.5077857701145978</v>
      </c>
      <c r="S111" s="360" t="s">
        <v>113</v>
      </c>
    </row>
    <row r="112" spans="3:19" ht="12.5">
      <c r="C112" s="233"/>
      <c r="D112" s="241"/>
      <c r="E112" s="233"/>
      <c r="F112" s="233"/>
      <c r="G112" s="233"/>
      <c r="H112" s="233"/>
      <c r="I112" s="242"/>
      <c r="J112" s="233"/>
      <c r="K112" s="243"/>
      <c r="L112" s="233"/>
      <c r="M112" s="233"/>
      <c r="N112" s="233"/>
      <c r="O112" s="233"/>
      <c r="P112" s="233"/>
      <c r="Q112" s="243"/>
      <c r="R112" s="361">
        <v>512630474.31529623</v>
      </c>
      <c r="S112" s="409" t="s">
        <v>232</v>
      </c>
    </row>
    <row r="113" spans="3:19" ht="12.5">
      <c r="C113" s="233"/>
      <c r="D113" s="241"/>
      <c r="E113" s="233"/>
      <c r="F113" s="233"/>
      <c r="G113" s="233"/>
      <c r="H113" s="233"/>
      <c r="I113" s="242"/>
      <c r="J113" s="233"/>
      <c r="K113" s="243"/>
      <c r="L113" s="233"/>
      <c r="M113" s="233"/>
      <c r="N113" s="233"/>
      <c r="O113" s="233"/>
      <c r="P113" s="233"/>
      <c r="Q113" s="243"/>
      <c r="R113" s="363">
        <v>0.25329199999999996</v>
      </c>
      <c r="S113" s="410" t="s">
        <v>315</v>
      </c>
    </row>
    <row r="114" spans="3:19" ht="12.5">
      <c r="C114" s="233"/>
      <c r="D114" s="241"/>
      <c r="E114" s="233"/>
      <c r="F114" s="233"/>
      <c r="G114" s="233"/>
      <c r="H114" s="233"/>
      <c r="I114" s="242"/>
      <c r="J114" s="233"/>
      <c r="K114" s="243"/>
      <c r="L114" s="233"/>
      <c r="M114" s="233"/>
      <c r="N114" s="233"/>
      <c r="O114" s="233"/>
      <c r="P114" s="233"/>
      <c r="Q114" s="243"/>
      <c r="R114" s="361">
        <v>-478613.2938319128</v>
      </c>
      <c r="S114" s="410" t="s">
        <v>316</v>
      </c>
    </row>
    <row r="115" spans="3:19" ht="12.5">
      <c r="C115" s="233"/>
      <c r="D115" s="241"/>
      <c r="E115" s="233"/>
      <c r="F115" s="233"/>
      <c r="G115" s="233"/>
      <c r="H115" s="233"/>
      <c r="I115" s="242"/>
      <c r="J115" s="233"/>
      <c r="K115" s="243"/>
      <c r="L115" s="233"/>
      <c r="M115" s="233"/>
      <c r="N115" s="233"/>
      <c r="O115" s="233"/>
      <c r="P115" s="233"/>
      <c r="Q115" s="243"/>
      <c r="R115" s="361">
        <v>-4278665.0203292314</v>
      </c>
      <c r="S115" s="411" t="s">
        <v>327</v>
      </c>
    </row>
    <row r="116" spans="3:19" ht="12.5">
      <c r="C116" s="233"/>
      <c r="D116" s="241"/>
      <c r="E116" s="233"/>
      <c r="F116" s="233"/>
      <c r="G116" s="233"/>
      <c r="H116" s="233"/>
      <c r="I116" s="242"/>
      <c r="J116" s="233"/>
      <c r="K116" s="243"/>
      <c r="L116" s="233"/>
      <c r="M116" s="233"/>
      <c r="N116" s="233"/>
      <c r="O116" s="233"/>
      <c r="P116" s="233"/>
      <c r="Q116" s="243"/>
      <c r="R116" s="361">
        <v>69243.01065476732</v>
      </c>
      <c r="S116" s="411" t="s">
        <v>328</v>
      </c>
    </row>
    <row r="117" spans="3:19" ht="12.5">
      <c r="C117" s="233"/>
      <c r="D117" s="241"/>
      <c r="E117" s="233"/>
      <c r="F117" s="233"/>
      <c r="G117" s="233"/>
      <c r="H117" s="233"/>
      <c r="I117" s="242"/>
      <c r="J117" s="233"/>
      <c r="K117" s="243"/>
      <c r="L117" s="233"/>
      <c r="M117" s="233"/>
      <c r="N117" s="233"/>
      <c r="O117" s="233"/>
      <c r="P117" s="233"/>
      <c r="Q117" s="243"/>
      <c r="R117" s="361">
        <v>98755039.899089605</v>
      </c>
      <c r="S117" s="410" t="s">
        <v>317</v>
      </c>
    </row>
    <row r="118" spans="3:19" ht="12.5">
      <c r="C118" s="233"/>
      <c r="D118" s="241"/>
      <c r="E118" s="233"/>
      <c r="F118" s="233"/>
      <c r="G118" s="233"/>
      <c r="H118" s="233"/>
      <c r="I118" s="242"/>
      <c r="J118" s="233"/>
      <c r="K118" s="243"/>
      <c r="L118" s="233"/>
      <c r="M118" s="233"/>
      <c r="N118" s="233"/>
      <c r="O118" s="233"/>
      <c r="P118" s="233"/>
      <c r="Q118" s="243"/>
      <c r="R118" s="361">
        <v>38069819.96563296</v>
      </c>
      <c r="S118" s="410" t="s">
        <v>318</v>
      </c>
    </row>
    <row r="119" spans="3:19" ht="12.5">
      <c r="C119" s="233"/>
      <c r="D119" s="241"/>
      <c r="E119" s="233"/>
      <c r="F119" s="233"/>
      <c r="G119" s="233"/>
      <c r="H119" s="233"/>
      <c r="I119" s="242"/>
      <c r="J119" s="233"/>
      <c r="K119" s="243"/>
      <c r="L119" s="233"/>
      <c r="M119" s="233"/>
      <c r="N119" s="233"/>
      <c r="O119" s="233"/>
      <c r="P119" s="233"/>
      <c r="Q119" s="243"/>
      <c r="R119" s="361">
        <v>4583356.0715263663</v>
      </c>
      <c r="S119" s="410" t="s">
        <v>319</v>
      </c>
    </row>
    <row r="120" spans="3:19" ht="12.5">
      <c r="C120" s="233"/>
      <c r="D120" s="241"/>
      <c r="E120" s="233"/>
      <c r="F120" s="233"/>
      <c r="G120" s="233"/>
      <c r="H120" s="233"/>
      <c r="I120" s="242"/>
      <c r="J120" s="233"/>
      <c r="K120" s="243"/>
      <c r="L120" s="233"/>
      <c r="M120" s="233"/>
      <c r="N120" s="233"/>
      <c r="O120" s="233"/>
      <c r="P120" s="233"/>
      <c r="Q120" s="243"/>
      <c r="R120" s="361">
        <v>0</v>
      </c>
      <c r="S120" s="410" t="s">
        <v>320</v>
      </c>
    </row>
    <row r="121" spans="3:19" ht="12.5">
      <c r="C121" s="233"/>
      <c r="D121" s="241"/>
      <c r="E121" s="233"/>
      <c r="F121" s="233"/>
      <c r="G121" s="233"/>
      <c r="H121" s="233"/>
      <c r="I121" s="242"/>
      <c r="J121" s="233"/>
      <c r="K121" s="243"/>
      <c r="L121" s="233"/>
      <c r="M121" s="233"/>
      <c r="N121" s="233"/>
      <c r="O121" s="233"/>
      <c r="P121" s="233"/>
      <c r="Q121" s="243"/>
      <c r="R121" s="361">
        <v>20922487.635063626</v>
      </c>
      <c r="S121" s="410" t="s">
        <v>321</v>
      </c>
    </row>
    <row r="122" spans="3:19" ht="12.5">
      <c r="C122" s="233"/>
      <c r="D122" s="241"/>
      <c r="E122" s="233"/>
      <c r="F122" s="233"/>
      <c r="G122" s="233"/>
      <c r="H122" s="233"/>
      <c r="I122" s="242"/>
      <c r="J122" s="233"/>
      <c r="K122" s="243"/>
      <c r="L122" s="233"/>
      <c r="M122" s="233"/>
      <c r="N122" s="233"/>
      <c r="O122" s="233"/>
      <c r="P122" s="233"/>
      <c r="Q122" s="243"/>
      <c r="R122" s="363">
        <v>0</v>
      </c>
      <c r="S122" s="410" t="s">
        <v>118</v>
      </c>
    </row>
    <row r="123" spans="3:19" ht="12.5">
      <c r="C123" s="233"/>
      <c r="D123" s="241"/>
      <c r="E123" s="233"/>
      <c r="F123" s="233"/>
      <c r="G123" s="233"/>
      <c r="H123" s="233"/>
      <c r="I123" s="242"/>
      <c r="J123" s="233"/>
      <c r="K123" s="243"/>
      <c r="L123" s="233"/>
      <c r="M123" s="233"/>
      <c r="N123" s="233"/>
      <c r="O123" s="233"/>
      <c r="P123" s="233"/>
      <c r="Q123" s="243"/>
      <c r="R123" s="361">
        <v>675059914.9022702</v>
      </c>
      <c r="S123" s="410" t="s">
        <v>233</v>
      </c>
    </row>
    <row r="124" spans="3:19" ht="12.5">
      <c r="C124" s="233"/>
      <c r="D124" s="241"/>
      <c r="E124" s="233"/>
      <c r="F124" s="233"/>
      <c r="G124" s="233"/>
      <c r="H124" s="233"/>
      <c r="I124" s="242"/>
      <c r="J124" s="233"/>
      <c r="K124" s="243"/>
      <c r="L124" s="233"/>
      <c r="M124" s="233"/>
      <c r="N124" s="233"/>
      <c r="O124" s="233"/>
      <c r="P124" s="233"/>
      <c r="Q124" s="243"/>
      <c r="R124" s="363">
        <v>0.11529725072669136</v>
      </c>
      <c r="S124" s="366" t="s">
        <v>234</v>
      </c>
    </row>
    <row r="125" spans="3:19" ht="12.5">
      <c r="C125" s="233"/>
      <c r="D125" s="241"/>
      <c r="E125" s="233"/>
      <c r="F125" s="233"/>
      <c r="G125" s="233"/>
      <c r="H125" s="233"/>
      <c r="I125" s="242"/>
      <c r="J125" s="233"/>
      <c r="K125" s="243"/>
      <c r="L125" s="233"/>
      <c r="M125" s="233"/>
      <c r="N125" s="233"/>
      <c r="O125" s="233"/>
      <c r="P125" s="233"/>
      <c r="Q125" s="243"/>
      <c r="R125" s="412">
        <v>948661097</v>
      </c>
      <c r="S125" s="359" t="s">
        <v>37</v>
      </c>
    </row>
    <row r="126" spans="3:19" ht="12.5">
      <c r="C126" s="233"/>
      <c r="D126" s="241"/>
      <c r="E126" s="233"/>
      <c r="F126" s="233"/>
      <c r="G126" s="233"/>
      <c r="H126" s="233"/>
      <c r="I126" s="242"/>
      <c r="J126" s="233"/>
      <c r="K126" s="243"/>
      <c r="L126" s="233"/>
      <c r="M126" s="233"/>
      <c r="N126" s="233"/>
      <c r="O126" s="233"/>
      <c r="P126" s="233"/>
      <c r="Q126" s="243"/>
      <c r="R126" s="413">
        <v>1069907872</v>
      </c>
      <c r="S126" s="360" t="s">
        <v>38</v>
      </c>
    </row>
    <row r="127" spans="3:19" ht="12.5">
      <c r="C127" s="233"/>
      <c r="D127" s="241"/>
      <c r="E127" s="233"/>
      <c r="F127" s="233"/>
      <c r="G127" s="233"/>
      <c r="H127" s="233"/>
      <c r="I127" s="242"/>
      <c r="J127" s="233"/>
      <c r="K127" s="243"/>
      <c r="L127" s="233"/>
      <c r="M127" s="233"/>
      <c r="N127" s="233"/>
      <c r="O127" s="233"/>
      <c r="P127" s="233"/>
      <c r="Q127" s="243"/>
      <c r="R127" s="413">
        <v>977376119.53846157</v>
      </c>
      <c r="S127" s="368" t="s">
        <v>326</v>
      </c>
    </row>
    <row r="128" spans="3:19" ht="13" thickBot="1">
      <c r="C128" s="233"/>
      <c r="D128" s="241"/>
      <c r="E128" s="233"/>
      <c r="F128" s="233"/>
      <c r="G128" s="233"/>
      <c r="H128" s="233"/>
      <c r="I128" s="242"/>
      <c r="J128" s="233"/>
      <c r="K128" s="243"/>
      <c r="L128" s="233"/>
      <c r="M128" s="233"/>
      <c r="N128" s="233"/>
      <c r="O128" s="233"/>
      <c r="P128" s="233"/>
      <c r="Q128" s="243"/>
      <c r="R128" s="414">
        <v>23222372</v>
      </c>
      <c r="S128" s="370" t="s">
        <v>322</v>
      </c>
    </row>
    <row r="129" spans="3:19" ht="12.5">
      <c r="C129" s="233"/>
      <c r="D129" s="241"/>
      <c r="E129" s="233"/>
      <c r="F129" s="233"/>
      <c r="G129" s="233"/>
      <c r="H129" s="233"/>
      <c r="I129" s="242"/>
      <c r="J129" s="233"/>
      <c r="K129" s="243"/>
      <c r="L129" s="233"/>
      <c r="M129" s="233"/>
      <c r="N129" s="233"/>
      <c r="O129" s="233"/>
      <c r="P129" s="233"/>
      <c r="Q129" s="243"/>
      <c r="R129" s="233"/>
      <c r="S129" s="233"/>
    </row>
    <row r="130" spans="3:19" ht="13">
      <c r="C130" s="233"/>
      <c r="D130" s="241"/>
      <c r="E130" s="233"/>
      <c r="F130" s="233"/>
      <c r="G130" s="233"/>
      <c r="H130" s="233"/>
      <c r="I130" s="242"/>
      <c r="J130" s="233"/>
      <c r="K130" s="243"/>
      <c r="L130" s="233"/>
      <c r="M130" s="233"/>
      <c r="N130" s="233"/>
      <c r="O130" s="233"/>
      <c r="P130" s="233"/>
      <c r="Q130" s="243"/>
      <c r="R130" s="350" t="s">
        <v>116</v>
      </c>
      <c r="S130" s="233" t="s">
        <v>130</v>
      </c>
    </row>
    <row r="131" spans="3:19" ht="13.5" thickBot="1">
      <c r="C131" s="233"/>
      <c r="D131" s="241"/>
      <c r="E131" s="233"/>
      <c r="F131" s="233"/>
      <c r="G131" s="233"/>
      <c r="H131" s="233"/>
      <c r="I131" s="242"/>
      <c r="J131" s="233"/>
      <c r="K131" s="243"/>
      <c r="L131" s="233"/>
      <c r="M131" s="233"/>
      <c r="N131" s="233"/>
      <c r="O131" s="233"/>
      <c r="P131" s="233"/>
      <c r="Q131" s="243"/>
      <c r="R131" s="351" t="s">
        <v>134</v>
      </c>
      <c r="S131" s="233"/>
    </row>
    <row r="132" spans="3:19" ht="12.5">
      <c r="C132" s="233"/>
      <c r="D132" s="241"/>
      <c r="E132" s="233"/>
      <c r="F132" s="233"/>
      <c r="G132" s="233"/>
      <c r="H132" s="233"/>
      <c r="I132" s="242"/>
      <c r="J132" s="233"/>
      <c r="K132" s="243"/>
      <c r="L132" s="233"/>
      <c r="M132" s="233"/>
      <c r="N132" s="233"/>
      <c r="O132" s="233"/>
      <c r="P132" s="233"/>
      <c r="Q132" s="243"/>
      <c r="R132" s="371">
        <f>+N17</f>
        <v>7973838.7799099376</v>
      </c>
      <c r="S132" s="148" t="s">
        <v>136</v>
      </c>
    </row>
    <row r="133" spans="3:19" ht="12.5">
      <c r="C133" s="233"/>
      <c r="D133" s="241"/>
      <c r="E133" s="233"/>
      <c r="F133" s="233"/>
      <c r="G133" s="233"/>
      <c r="H133" s="233"/>
      <c r="I133" s="242"/>
      <c r="J133" s="233"/>
      <c r="K133" s="243"/>
      <c r="L133" s="233"/>
      <c r="M133" s="233"/>
      <c r="N133" s="233"/>
      <c r="O133" s="233"/>
      <c r="P133" s="233"/>
      <c r="Q133" s="243"/>
      <c r="R133" s="372">
        <f>+O17</f>
        <v>7973838.7799099376</v>
      </c>
      <c r="S133" s="148" t="s">
        <v>137</v>
      </c>
    </row>
    <row r="134" spans="3:19" ht="12.5">
      <c r="C134" s="233"/>
      <c r="D134" s="241"/>
      <c r="E134" s="233"/>
      <c r="F134" s="233"/>
      <c r="G134" s="233"/>
      <c r="H134" s="233"/>
      <c r="I134" s="242"/>
      <c r="J134" s="233"/>
      <c r="K134" s="243"/>
      <c r="L134" s="233"/>
      <c r="M134" s="233"/>
      <c r="N134" s="233"/>
      <c r="O134" s="233"/>
      <c r="P134" s="233"/>
      <c r="Q134" s="243"/>
      <c r="R134" s="415">
        <f>+N18</f>
        <v>8608680.5050717462</v>
      </c>
      <c r="S134" s="148" t="s">
        <v>138</v>
      </c>
    </row>
    <row r="135" spans="3:19" ht="13" thickBot="1">
      <c r="C135" s="233"/>
      <c r="D135" s="241"/>
      <c r="E135" s="233"/>
      <c r="F135" s="233"/>
      <c r="G135" s="233"/>
      <c r="H135" s="233"/>
      <c r="I135" s="242"/>
      <c r="J135" s="233"/>
      <c r="K135" s="243"/>
      <c r="L135" s="233"/>
      <c r="M135" s="233"/>
      <c r="N135" s="233"/>
      <c r="O135" s="233"/>
      <c r="P135" s="233"/>
      <c r="Q135" s="243"/>
      <c r="R135" s="373">
        <f>+O18</f>
        <v>8608680.5050717462</v>
      </c>
      <c r="S135" s="148" t="s">
        <v>139</v>
      </c>
    </row>
    <row r="136" spans="3:19" ht="12.75" customHeight="1">
      <c r="R136" s="233"/>
      <c r="S136" s="233"/>
    </row>
    <row r="137" spans="3:19" ht="12.75" customHeight="1">
      <c r="R137" s="350" t="s">
        <v>128</v>
      </c>
      <c r="S137" s="234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horizontalDpi="1200" verticalDpi="1200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64" zoomScale="85" zoomScaleNormal="85" workbookViewId="0">
      <selection activeCell="D93" sqref="D9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27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552918.85124067403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552918.85124067403</v>
      </c>
      <c r="O6" s="233"/>
      <c r="P6" s="233"/>
    </row>
    <row r="7" spans="1:16" ht="13.5" thickBot="1">
      <c r="C7" s="432" t="s">
        <v>46</v>
      </c>
      <c r="D7" s="620" t="s">
        <v>343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 t="s">
        <v>345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5058522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2019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3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117640.04651162791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2019</v>
      </c>
      <c r="D17" s="624">
        <v>0</v>
      </c>
      <c r="E17" s="625">
        <v>0</v>
      </c>
      <c r="F17" s="626">
        <v>4120000</v>
      </c>
      <c r="G17" s="625">
        <v>230012.66047295602</v>
      </c>
      <c r="H17" s="627">
        <v>230012.66047295602</v>
      </c>
      <c r="I17" s="476">
        <f>H17-G17</f>
        <v>0</v>
      </c>
      <c r="J17" s="476"/>
      <c r="K17" s="555">
        <f>+G17</f>
        <v>230012.66047295602</v>
      </c>
      <c r="L17" s="478">
        <f t="shared" ref="L17:L18" si="0">IF(K17&lt;&gt;0,+G17-K17,0)</f>
        <v>0</v>
      </c>
      <c r="M17" s="555">
        <f>+H17</f>
        <v>230012.66047295602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2020</v>
      </c>
      <c r="D18" s="628">
        <v>4236000</v>
      </c>
      <c r="E18" s="629">
        <v>100857.14285714286</v>
      </c>
      <c r="F18" s="628">
        <v>4135142.8571428573</v>
      </c>
      <c r="G18" s="629">
        <v>552918.85124067403</v>
      </c>
      <c r="H18" s="630">
        <v>552918.85124067403</v>
      </c>
      <c r="I18" s="476">
        <f>H18-G18</f>
        <v>0</v>
      </c>
      <c r="J18" s="476"/>
      <c r="K18" s="479">
        <f>+G18</f>
        <v>552918.85124067403</v>
      </c>
      <c r="L18" s="479">
        <f t="shared" si="0"/>
        <v>0</v>
      </c>
      <c r="M18" s="479">
        <f>+H18</f>
        <v>552918.85124067403</v>
      </c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2021</v>
      </c>
      <c r="D19" s="484">
        <f>IF(F18+SUM(E$17:E18)=D$10,F18,D$10-SUM(E$17:E18))</f>
        <v>4957664.8571428573</v>
      </c>
      <c r="E19" s="485">
        <f t="shared" ref="E19:E71" si="3">IF(+I$14&lt;F18,I$14,D19)</f>
        <v>117640.04651162791</v>
      </c>
      <c r="F19" s="486">
        <f t="shared" ref="F19:F71" si="4">+D19-E19</f>
        <v>4840024.8106312295</v>
      </c>
      <c r="G19" s="487">
        <f t="shared" ref="G19:G71" si="5">(D19+F19)/2*I$12+E19</f>
        <v>681283.18009047047</v>
      </c>
      <c r="H19" s="456">
        <f t="shared" ref="H19:H71" si="6">+(D19+F19)/2*I$13+E19</f>
        <v>681283.18009047047</v>
      </c>
      <c r="I19" s="476">
        <f t="shared" ref="I19:I71" si="7">H19-G19</f>
        <v>0</v>
      </c>
      <c r="J19" s="476"/>
      <c r="K19" s="488"/>
      <c r="L19" s="479">
        <f t="shared" ref="L19:L72" si="8">IF(K19&lt;&gt;0,+G19-K19,0)</f>
        <v>0</v>
      </c>
      <c r="M19" s="488"/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9">IF(D20=F19,"","IU")</f>
        <v/>
      </c>
      <c r="C20" s="473">
        <f>IF(D11="","-",+C19+1)</f>
        <v>2022</v>
      </c>
      <c r="D20" s="484">
        <f>IF(F19+SUM(E$17:E19)=D$10,F19,D$10-SUM(E$17:E19))</f>
        <v>4840024.8106312295</v>
      </c>
      <c r="E20" s="485">
        <f t="shared" si="3"/>
        <v>117640.04651162791</v>
      </c>
      <c r="F20" s="486">
        <f t="shared" si="4"/>
        <v>4722384.7641196018</v>
      </c>
      <c r="G20" s="487">
        <f t="shared" si="5"/>
        <v>667747.94745940086</v>
      </c>
      <c r="H20" s="456">
        <f t="shared" si="6"/>
        <v>667747.94745940086</v>
      </c>
      <c r="I20" s="476">
        <f t="shared" si="7"/>
        <v>0</v>
      </c>
      <c r="J20" s="476"/>
      <c r="K20" s="488"/>
      <c r="L20" s="479">
        <f t="shared" si="8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9"/>
        <v/>
      </c>
      <c r="C21" s="473">
        <f>IF(D11="","-",+C20+1)</f>
        <v>2023</v>
      </c>
      <c r="D21" s="484">
        <f>IF(F20+SUM(E$17:E20)=D$10,F20,D$10-SUM(E$17:E20))</f>
        <v>4722384.7641196018</v>
      </c>
      <c r="E21" s="485">
        <f t="shared" si="3"/>
        <v>117640.04651162791</v>
      </c>
      <c r="F21" s="486">
        <f t="shared" si="4"/>
        <v>4604744.7176079741</v>
      </c>
      <c r="G21" s="487">
        <f t="shared" si="5"/>
        <v>654212.71482833126</v>
      </c>
      <c r="H21" s="456">
        <f t="shared" si="6"/>
        <v>654212.71482833126</v>
      </c>
      <c r="I21" s="476">
        <f t="shared" si="7"/>
        <v>0</v>
      </c>
      <c r="J21" s="476"/>
      <c r="K21" s="488"/>
      <c r="L21" s="479">
        <f t="shared" si="8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9"/>
        <v/>
      </c>
      <c r="C22" s="473">
        <f>IF(D11="","-",+C21+1)</f>
        <v>2024</v>
      </c>
      <c r="D22" s="484">
        <f>IF(F21+SUM(E$17:E21)=D$10,F21,D$10-SUM(E$17:E21))</f>
        <v>4604744.7176079741</v>
      </c>
      <c r="E22" s="485">
        <f t="shared" si="3"/>
        <v>117640.04651162791</v>
      </c>
      <c r="F22" s="486">
        <f t="shared" si="4"/>
        <v>4487104.6710963463</v>
      </c>
      <c r="G22" s="487">
        <f t="shared" si="5"/>
        <v>640677.48219726165</v>
      </c>
      <c r="H22" s="456">
        <f t="shared" si="6"/>
        <v>640677.48219726165</v>
      </c>
      <c r="I22" s="476">
        <f t="shared" si="7"/>
        <v>0</v>
      </c>
      <c r="J22" s="476"/>
      <c r="K22" s="488"/>
      <c r="L22" s="479">
        <f t="shared" si="8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9"/>
        <v/>
      </c>
      <c r="C23" s="473">
        <f>IF(D11="","-",+C22+1)</f>
        <v>2025</v>
      </c>
      <c r="D23" s="484">
        <f>IF(F22+SUM(E$17:E22)=D$10,F22,D$10-SUM(E$17:E22))</f>
        <v>4487104.6710963463</v>
      </c>
      <c r="E23" s="485">
        <f t="shared" si="3"/>
        <v>117640.04651162791</v>
      </c>
      <c r="F23" s="486">
        <f t="shared" si="4"/>
        <v>4369464.6245847186</v>
      </c>
      <c r="G23" s="487">
        <f t="shared" si="5"/>
        <v>627142.24956619204</v>
      </c>
      <c r="H23" s="456">
        <f t="shared" si="6"/>
        <v>627142.24956619204</v>
      </c>
      <c r="I23" s="476">
        <f t="shared" si="7"/>
        <v>0</v>
      </c>
      <c r="J23" s="476"/>
      <c r="K23" s="488"/>
      <c r="L23" s="479">
        <f t="shared" si="8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9"/>
        <v/>
      </c>
      <c r="C24" s="473">
        <f>IF(D11="","-",+C23+1)</f>
        <v>2026</v>
      </c>
      <c r="D24" s="484">
        <f>IF(F23+SUM(E$17:E23)=D$10,F23,D$10-SUM(E$17:E23))</f>
        <v>4369464.6245847186</v>
      </c>
      <c r="E24" s="485">
        <f t="shared" si="3"/>
        <v>117640.04651162791</v>
      </c>
      <c r="F24" s="486">
        <f t="shared" si="4"/>
        <v>4251824.5780730909</v>
      </c>
      <c r="G24" s="487">
        <f t="shared" si="5"/>
        <v>613607.01693512243</v>
      </c>
      <c r="H24" s="456">
        <f t="shared" si="6"/>
        <v>613607.01693512243</v>
      </c>
      <c r="I24" s="476">
        <f t="shared" si="7"/>
        <v>0</v>
      </c>
      <c r="J24" s="476"/>
      <c r="K24" s="488"/>
      <c r="L24" s="479">
        <f t="shared" si="8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9"/>
        <v/>
      </c>
      <c r="C25" s="473">
        <f>IF(D11="","-",+C24+1)</f>
        <v>2027</v>
      </c>
      <c r="D25" s="484">
        <f>IF(F24+SUM(E$17:E24)=D$10,F24,D$10-SUM(E$17:E24))</f>
        <v>4251824.5780730909</v>
      </c>
      <c r="E25" s="485">
        <f t="shared" si="3"/>
        <v>117640.04651162791</v>
      </c>
      <c r="F25" s="486">
        <f t="shared" si="4"/>
        <v>4134184.5315614631</v>
      </c>
      <c r="G25" s="487">
        <f t="shared" si="5"/>
        <v>600071.78430405282</v>
      </c>
      <c r="H25" s="456">
        <f t="shared" si="6"/>
        <v>600071.78430405282</v>
      </c>
      <c r="I25" s="476">
        <f t="shared" si="7"/>
        <v>0</v>
      </c>
      <c r="J25" s="476"/>
      <c r="K25" s="488"/>
      <c r="L25" s="479">
        <f t="shared" si="8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9"/>
        <v/>
      </c>
      <c r="C26" s="473">
        <f>IF(D11="","-",+C25+1)</f>
        <v>2028</v>
      </c>
      <c r="D26" s="484">
        <f>IF(F25+SUM(E$17:E25)=D$10,F25,D$10-SUM(E$17:E25))</f>
        <v>4134184.5315614631</v>
      </c>
      <c r="E26" s="485">
        <f t="shared" si="3"/>
        <v>117640.04651162791</v>
      </c>
      <c r="F26" s="486">
        <f t="shared" si="4"/>
        <v>4016544.4850498354</v>
      </c>
      <c r="G26" s="487">
        <f t="shared" si="5"/>
        <v>586536.55167298322</v>
      </c>
      <c r="H26" s="456">
        <f t="shared" si="6"/>
        <v>586536.55167298322</v>
      </c>
      <c r="I26" s="476">
        <f t="shared" si="7"/>
        <v>0</v>
      </c>
      <c r="J26" s="476"/>
      <c r="K26" s="488"/>
      <c r="L26" s="479">
        <f t="shared" si="8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9"/>
        <v/>
      </c>
      <c r="C27" s="473">
        <f>IF(D11="","-",+C26+1)</f>
        <v>2029</v>
      </c>
      <c r="D27" s="484">
        <f>IF(F26+SUM(E$17:E26)=D$10,F26,D$10-SUM(E$17:E26))</f>
        <v>4016544.4850498354</v>
      </c>
      <c r="E27" s="485">
        <f t="shared" si="3"/>
        <v>117640.04651162791</v>
      </c>
      <c r="F27" s="486">
        <f t="shared" si="4"/>
        <v>3898904.4385382077</v>
      </c>
      <c r="G27" s="487">
        <f t="shared" si="5"/>
        <v>573001.31904191372</v>
      </c>
      <c r="H27" s="456">
        <f t="shared" si="6"/>
        <v>573001.31904191372</v>
      </c>
      <c r="I27" s="476">
        <f t="shared" si="7"/>
        <v>0</v>
      </c>
      <c r="J27" s="476"/>
      <c r="K27" s="488"/>
      <c r="L27" s="479">
        <f t="shared" si="8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9"/>
        <v/>
      </c>
      <c r="C28" s="473">
        <f>IF(D11="","-",+C27+1)</f>
        <v>2030</v>
      </c>
      <c r="D28" s="484">
        <f>IF(F27+SUM(E$17:E27)=D$10,F27,D$10-SUM(E$17:E27))</f>
        <v>3898904.4385382077</v>
      </c>
      <c r="E28" s="485">
        <f t="shared" si="3"/>
        <v>117640.04651162791</v>
      </c>
      <c r="F28" s="486">
        <f t="shared" si="4"/>
        <v>3781264.3920265799</v>
      </c>
      <c r="G28" s="487">
        <f t="shared" si="5"/>
        <v>559466.08641084412</v>
      </c>
      <c r="H28" s="456">
        <f t="shared" si="6"/>
        <v>559466.08641084412</v>
      </c>
      <c r="I28" s="476">
        <f t="shared" si="7"/>
        <v>0</v>
      </c>
      <c r="J28" s="476"/>
      <c r="K28" s="488"/>
      <c r="L28" s="479">
        <f t="shared" si="8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9"/>
        <v/>
      </c>
      <c r="C29" s="473">
        <f>IF(D11="","-",+C28+1)</f>
        <v>2031</v>
      </c>
      <c r="D29" s="484">
        <f>IF(F28+SUM(E$17:E28)=D$10,F28,D$10-SUM(E$17:E28))</f>
        <v>3781264.3920265799</v>
      </c>
      <c r="E29" s="485">
        <f t="shared" si="3"/>
        <v>117640.04651162791</v>
      </c>
      <c r="F29" s="486">
        <f t="shared" si="4"/>
        <v>3663624.3455149522</v>
      </c>
      <c r="G29" s="487">
        <f t="shared" si="5"/>
        <v>545930.85377977451</v>
      </c>
      <c r="H29" s="456">
        <f t="shared" si="6"/>
        <v>545930.85377977451</v>
      </c>
      <c r="I29" s="476">
        <f t="shared" si="7"/>
        <v>0</v>
      </c>
      <c r="J29" s="476"/>
      <c r="K29" s="488"/>
      <c r="L29" s="479">
        <f t="shared" si="8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9"/>
        <v/>
      </c>
      <c r="C30" s="473">
        <f>IF(D11="","-",+C29+1)</f>
        <v>2032</v>
      </c>
      <c r="D30" s="484">
        <f>IF(F29+SUM(E$17:E29)=D$10,F29,D$10-SUM(E$17:E29))</f>
        <v>3663624.3455149522</v>
      </c>
      <c r="E30" s="485">
        <f t="shared" si="3"/>
        <v>117640.04651162791</v>
      </c>
      <c r="F30" s="486">
        <f t="shared" si="4"/>
        <v>3545984.2990033245</v>
      </c>
      <c r="G30" s="487">
        <f t="shared" si="5"/>
        <v>532395.6211487049</v>
      </c>
      <c r="H30" s="456">
        <f t="shared" si="6"/>
        <v>532395.6211487049</v>
      </c>
      <c r="I30" s="476">
        <f t="shared" si="7"/>
        <v>0</v>
      </c>
      <c r="J30" s="476"/>
      <c r="K30" s="488"/>
      <c r="L30" s="479">
        <f t="shared" si="8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9"/>
        <v/>
      </c>
      <c r="C31" s="473">
        <f>IF(D11="","-",+C30+1)</f>
        <v>2033</v>
      </c>
      <c r="D31" s="484">
        <f>IF(F30+SUM(E$17:E30)=D$10,F30,D$10-SUM(E$17:E30))</f>
        <v>3545984.2990033245</v>
      </c>
      <c r="E31" s="485">
        <f t="shared" si="3"/>
        <v>117640.04651162791</v>
      </c>
      <c r="F31" s="486">
        <f t="shared" si="4"/>
        <v>3428344.2524916967</v>
      </c>
      <c r="G31" s="487">
        <f t="shared" si="5"/>
        <v>518860.38851763529</v>
      </c>
      <c r="H31" s="456">
        <f t="shared" si="6"/>
        <v>518860.38851763529</v>
      </c>
      <c r="I31" s="476">
        <f t="shared" si="7"/>
        <v>0</v>
      </c>
      <c r="J31" s="476"/>
      <c r="K31" s="488"/>
      <c r="L31" s="479">
        <f t="shared" si="8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9"/>
        <v/>
      </c>
      <c r="C32" s="473">
        <f>IF(D11="","-",+C31+1)</f>
        <v>2034</v>
      </c>
      <c r="D32" s="484">
        <f>IF(F31+SUM(E$17:E31)=D$10,F31,D$10-SUM(E$17:E31))</f>
        <v>3428344.2524916967</v>
      </c>
      <c r="E32" s="485">
        <f t="shared" si="3"/>
        <v>117640.04651162791</v>
      </c>
      <c r="F32" s="486">
        <f t="shared" si="4"/>
        <v>3310704.205980069</v>
      </c>
      <c r="G32" s="487">
        <f t="shared" si="5"/>
        <v>505325.15588656568</v>
      </c>
      <c r="H32" s="456">
        <f t="shared" si="6"/>
        <v>505325.15588656568</v>
      </c>
      <c r="I32" s="476">
        <f t="shared" si="7"/>
        <v>0</v>
      </c>
      <c r="J32" s="476"/>
      <c r="K32" s="488"/>
      <c r="L32" s="479">
        <f t="shared" si="8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9"/>
        <v/>
      </c>
      <c r="C33" s="473">
        <f>IF(D11="","-",+C32+1)</f>
        <v>2035</v>
      </c>
      <c r="D33" s="484">
        <f>IF(F32+SUM(E$17:E32)=D$10,F32,D$10-SUM(E$17:E32))</f>
        <v>3310704.205980069</v>
      </c>
      <c r="E33" s="485">
        <f t="shared" si="3"/>
        <v>117640.04651162791</v>
      </c>
      <c r="F33" s="486">
        <f t="shared" si="4"/>
        <v>3193064.1594684413</v>
      </c>
      <c r="G33" s="487">
        <f t="shared" si="5"/>
        <v>491789.92325549608</v>
      </c>
      <c r="H33" s="456">
        <f t="shared" si="6"/>
        <v>491789.92325549608</v>
      </c>
      <c r="I33" s="476">
        <f t="shared" si="7"/>
        <v>0</v>
      </c>
      <c r="J33" s="476"/>
      <c r="K33" s="488"/>
      <c r="L33" s="479">
        <f t="shared" si="8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9"/>
        <v/>
      </c>
      <c r="C34" s="473">
        <f>IF(D11="","-",+C33+1)</f>
        <v>2036</v>
      </c>
      <c r="D34" s="484">
        <f>IF(F33+SUM(E$17:E33)=D$10,F33,D$10-SUM(E$17:E33))</f>
        <v>3193064.1594684413</v>
      </c>
      <c r="E34" s="485">
        <f t="shared" si="3"/>
        <v>117640.04651162791</v>
      </c>
      <c r="F34" s="486">
        <f t="shared" si="4"/>
        <v>3075424.1129568135</v>
      </c>
      <c r="G34" s="487">
        <f t="shared" si="5"/>
        <v>478254.69062442647</v>
      </c>
      <c r="H34" s="456">
        <f t="shared" si="6"/>
        <v>478254.69062442647</v>
      </c>
      <c r="I34" s="476">
        <f t="shared" si="7"/>
        <v>0</v>
      </c>
      <c r="J34" s="476"/>
      <c r="K34" s="488"/>
      <c r="L34" s="479">
        <f t="shared" si="8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9"/>
        <v/>
      </c>
      <c r="C35" s="473">
        <f>IF(D11="","-",+C34+1)</f>
        <v>2037</v>
      </c>
      <c r="D35" s="484">
        <f>IF(F34+SUM(E$17:E34)=D$10,F34,D$10-SUM(E$17:E34))</f>
        <v>3075424.1129568135</v>
      </c>
      <c r="E35" s="485">
        <f t="shared" si="3"/>
        <v>117640.04651162791</v>
      </c>
      <c r="F35" s="486">
        <f t="shared" si="4"/>
        <v>2957784.0664451858</v>
      </c>
      <c r="G35" s="487">
        <f t="shared" si="5"/>
        <v>464719.45799335692</v>
      </c>
      <c r="H35" s="456">
        <f t="shared" si="6"/>
        <v>464719.45799335692</v>
      </c>
      <c r="I35" s="476">
        <f t="shared" si="7"/>
        <v>0</v>
      </c>
      <c r="J35" s="476"/>
      <c r="K35" s="488"/>
      <c r="L35" s="479">
        <f t="shared" si="8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9"/>
        <v/>
      </c>
      <c r="C36" s="473">
        <f>IF(D11="","-",+C35+1)</f>
        <v>2038</v>
      </c>
      <c r="D36" s="484">
        <f>IF(F35+SUM(E$17:E35)=D$10,F35,D$10-SUM(E$17:E35))</f>
        <v>2957784.0664451858</v>
      </c>
      <c r="E36" s="485">
        <f t="shared" si="3"/>
        <v>117640.04651162791</v>
      </c>
      <c r="F36" s="486">
        <f t="shared" si="4"/>
        <v>2840144.0199335581</v>
      </c>
      <c r="G36" s="487">
        <f t="shared" si="5"/>
        <v>451184.22536228731</v>
      </c>
      <c r="H36" s="456">
        <f t="shared" si="6"/>
        <v>451184.22536228731</v>
      </c>
      <c r="I36" s="476">
        <f t="shared" si="7"/>
        <v>0</v>
      </c>
      <c r="J36" s="476"/>
      <c r="K36" s="488"/>
      <c r="L36" s="479">
        <f t="shared" si="8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9"/>
        <v/>
      </c>
      <c r="C37" s="473">
        <f>IF(D11="","-",+C36+1)</f>
        <v>2039</v>
      </c>
      <c r="D37" s="484">
        <f>IF(F36+SUM(E$17:E36)=D$10,F36,D$10-SUM(E$17:E36))</f>
        <v>2840144.0199335581</v>
      </c>
      <c r="E37" s="485">
        <f t="shared" si="3"/>
        <v>117640.04651162791</v>
      </c>
      <c r="F37" s="486">
        <f t="shared" si="4"/>
        <v>2722503.9734219303</v>
      </c>
      <c r="G37" s="487">
        <f t="shared" si="5"/>
        <v>437648.9927312177</v>
      </c>
      <c r="H37" s="456">
        <f t="shared" si="6"/>
        <v>437648.9927312177</v>
      </c>
      <c r="I37" s="476">
        <f t="shared" si="7"/>
        <v>0</v>
      </c>
      <c r="J37" s="476"/>
      <c r="K37" s="488"/>
      <c r="L37" s="479">
        <f t="shared" si="8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9"/>
        <v/>
      </c>
      <c r="C38" s="473">
        <f>IF(D11="","-",+C37+1)</f>
        <v>2040</v>
      </c>
      <c r="D38" s="484">
        <f>IF(F37+SUM(E$17:E37)=D$10,F37,D$10-SUM(E$17:E37))</f>
        <v>2722503.9734219303</v>
      </c>
      <c r="E38" s="485">
        <f t="shared" si="3"/>
        <v>117640.04651162791</v>
      </c>
      <c r="F38" s="486">
        <f t="shared" si="4"/>
        <v>2604863.9269103026</v>
      </c>
      <c r="G38" s="487">
        <f t="shared" si="5"/>
        <v>424113.76010014809</v>
      </c>
      <c r="H38" s="456">
        <f t="shared" si="6"/>
        <v>424113.76010014809</v>
      </c>
      <c r="I38" s="476">
        <f t="shared" si="7"/>
        <v>0</v>
      </c>
      <c r="J38" s="476"/>
      <c r="K38" s="488"/>
      <c r="L38" s="479">
        <f t="shared" si="8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9"/>
        <v/>
      </c>
      <c r="C39" s="473">
        <f>IF(D11="","-",+C38+1)</f>
        <v>2041</v>
      </c>
      <c r="D39" s="484">
        <f>IF(F38+SUM(E$17:E38)=D$10,F38,D$10-SUM(E$17:E38))</f>
        <v>2604863.9269103026</v>
      </c>
      <c r="E39" s="485">
        <f t="shared" si="3"/>
        <v>117640.04651162791</v>
      </c>
      <c r="F39" s="486">
        <f t="shared" si="4"/>
        <v>2487223.8803986749</v>
      </c>
      <c r="G39" s="487">
        <f t="shared" si="5"/>
        <v>410578.52746907849</v>
      </c>
      <c r="H39" s="456">
        <f t="shared" si="6"/>
        <v>410578.52746907849</v>
      </c>
      <c r="I39" s="476">
        <f t="shared" si="7"/>
        <v>0</v>
      </c>
      <c r="J39" s="476"/>
      <c r="K39" s="488"/>
      <c r="L39" s="479">
        <f t="shared" si="8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9"/>
        <v/>
      </c>
      <c r="C40" s="473">
        <f>IF(D11="","-",+C39+1)</f>
        <v>2042</v>
      </c>
      <c r="D40" s="484">
        <f>IF(F39+SUM(E$17:E39)=D$10,F39,D$10-SUM(E$17:E39))</f>
        <v>2487223.8803986749</v>
      </c>
      <c r="E40" s="485">
        <f t="shared" si="3"/>
        <v>117640.04651162791</v>
      </c>
      <c r="F40" s="486">
        <f t="shared" si="4"/>
        <v>2369583.8338870471</v>
      </c>
      <c r="G40" s="487">
        <f t="shared" si="5"/>
        <v>397043.29483800888</v>
      </c>
      <c r="H40" s="456">
        <f t="shared" si="6"/>
        <v>397043.29483800888</v>
      </c>
      <c r="I40" s="476">
        <f t="shared" si="7"/>
        <v>0</v>
      </c>
      <c r="J40" s="476"/>
      <c r="K40" s="488"/>
      <c r="L40" s="479">
        <f t="shared" si="8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9"/>
        <v/>
      </c>
      <c r="C41" s="473">
        <f>IF(D11="","-",+C40+1)</f>
        <v>2043</v>
      </c>
      <c r="D41" s="484">
        <f>IF(F40+SUM(E$17:E40)=D$10,F40,D$10-SUM(E$17:E40))</f>
        <v>2369583.8338870471</v>
      </c>
      <c r="E41" s="485">
        <f t="shared" si="3"/>
        <v>117640.04651162791</v>
      </c>
      <c r="F41" s="486">
        <f t="shared" si="4"/>
        <v>2251943.7873754194</v>
      </c>
      <c r="G41" s="487">
        <f t="shared" si="5"/>
        <v>383508.06220693927</v>
      </c>
      <c r="H41" s="456">
        <f t="shared" si="6"/>
        <v>383508.06220693927</v>
      </c>
      <c r="I41" s="476">
        <f t="shared" si="7"/>
        <v>0</v>
      </c>
      <c r="J41" s="476"/>
      <c r="K41" s="488"/>
      <c r="L41" s="479">
        <f t="shared" si="8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9"/>
        <v/>
      </c>
      <c r="C42" s="473">
        <f>IF(D11="","-",+C41+1)</f>
        <v>2044</v>
      </c>
      <c r="D42" s="484">
        <f>IF(F41+SUM(E$17:E41)=D$10,F41,D$10-SUM(E$17:E41))</f>
        <v>2251943.7873754194</v>
      </c>
      <c r="E42" s="485">
        <f t="shared" si="3"/>
        <v>117640.04651162791</v>
      </c>
      <c r="F42" s="486">
        <f t="shared" si="4"/>
        <v>2134303.7408637917</v>
      </c>
      <c r="G42" s="487">
        <f t="shared" si="5"/>
        <v>369972.82957586972</v>
      </c>
      <c r="H42" s="456">
        <f t="shared" si="6"/>
        <v>369972.82957586972</v>
      </c>
      <c r="I42" s="476">
        <f t="shared" si="7"/>
        <v>0</v>
      </c>
      <c r="J42" s="476"/>
      <c r="K42" s="488"/>
      <c r="L42" s="479">
        <f t="shared" si="8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9"/>
        <v/>
      </c>
      <c r="C43" s="473">
        <f>IF(D11="","-",+C42+1)</f>
        <v>2045</v>
      </c>
      <c r="D43" s="484">
        <f>IF(F42+SUM(E$17:E42)=D$10,F42,D$10-SUM(E$17:E42))</f>
        <v>2134303.7408637917</v>
      </c>
      <c r="E43" s="485">
        <f t="shared" si="3"/>
        <v>117640.04651162791</v>
      </c>
      <c r="F43" s="486">
        <f t="shared" si="4"/>
        <v>2016663.6943521637</v>
      </c>
      <c r="G43" s="487">
        <f t="shared" si="5"/>
        <v>356437.59694480011</v>
      </c>
      <c r="H43" s="456">
        <f t="shared" si="6"/>
        <v>356437.59694480011</v>
      </c>
      <c r="I43" s="476">
        <f t="shared" si="7"/>
        <v>0</v>
      </c>
      <c r="J43" s="476"/>
      <c r="K43" s="488"/>
      <c r="L43" s="479">
        <f t="shared" si="8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9"/>
        <v/>
      </c>
      <c r="C44" s="473">
        <f>IF(D11="","-",+C43+1)</f>
        <v>2046</v>
      </c>
      <c r="D44" s="484">
        <f>IF(F43+SUM(E$17:E43)=D$10,F43,D$10-SUM(E$17:E43))</f>
        <v>2016663.6943521637</v>
      </c>
      <c r="E44" s="485">
        <f t="shared" si="3"/>
        <v>117640.04651162791</v>
      </c>
      <c r="F44" s="486">
        <f t="shared" si="4"/>
        <v>1899023.6478405357</v>
      </c>
      <c r="G44" s="487">
        <f t="shared" si="5"/>
        <v>342902.36431373045</v>
      </c>
      <c r="H44" s="456">
        <f t="shared" si="6"/>
        <v>342902.36431373045</v>
      </c>
      <c r="I44" s="476">
        <f t="shared" si="7"/>
        <v>0</v>
      </c>
      <c r="J44" s="476"/>
      <c r="K44" s="488"/>
      <c r="L44" s="479">
        <f t="shared" si="8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9"/>
        <v/>
      </c>
      <c r="C45" s="473">
        <f>IF(D11="","-",+C44+1)</f>
        <v>2047</v>
      </c>
      <c r="D45" s="484">
        <f>IF(F44+SUM(E$17:E44)=D$10,F44,D$10-SUM(E$17:E44))</f>
        <v>1899023.6478405357</v>
      </c>
      <c r="E45" s="485">
        <f t="shared" si="3"/>
        <v>117640.04651162791</v>
      </c>
      <c r="F45" s="486">
        <f t="shared" si="4"/>
        <v>1781383.6013289078</v>
      </c>
      <c r="G45" s="487">
        <f t="shared" si="5"/>
        <v>329367.13168266084</v>
      </c>
      <c r="H45" s="456">
        <f t="shared" si="6"/>
        <v>329367.13168266084</v>
      </c>
      <c r="I45" s="476">
        <f t="shared" si="7"/>
        <v>0</v>
      </c>
      <c r="J45" s="476"/>
      <c r="K45" s="488"/>
      <c r="L45" s="479">
        <f t="shared" si="8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9"/>
        <v/>
      </c>
      <c r="C46" s="473">
        <f>IF(D11="","-",+C45+1)</f>
        <v>2048</v>
      </c>
      <c r="D46" s="484">
        <f>IF(F45+SUM(E$17:E45)=D$10,F45,D$10-SUM(E$17:E45))</f>
        <v>1781383.6013289078</v>
      </c>
      <c r="E46" s="485">
        <f t="shared" si="3"/>
        <v>117640.04651162791</v>
      </c>
      <c r="F46" s="486">
        <f t="shared" si="4"/>
        <v>1663743.5548172798</v>
      </c>
      <c r="G46" s="487">
        <f t="shared" si="5"/>
        <v>315831.89905159117</v>
      </c>
      <c r="H46" s="456">
        <f t="shared" si="6"/>
        <v>315831.89905159117</v>
      </c>
      <c r="I46" s="476">
        <f t="shared" si="7"/>
        <v>0</v>
      </c>
      <c r="J46" s="476"/>
      <c r="K46" s="488"/>
      <c r="L46" s="479">
        <f t="shared" si="8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9"/>
        <v/>
      </c>
      <c r="C47" s="473">
        <f>IF(D11="","-",+C46+1)</f>
        <v>2049</v>
      </c>
      <c r="D47" s="484">
        <f>IF(F46+SUM(E$17:E46)=D$10,F46,D$10-SUM(E$17:E46))</f>
        <v>1663743.5548172798</v>
      </c>
      <c r="E47" s="485">
        <f t="shared" si="3"/>
        <v>117640.04651162791</v>
      </c>
      <c r="F47" s="486">
        <f t="shared" si="4"/>
        <v>1546103.5083056518</v>
      </c>
      <c r="G47" s="487">
        <f t="shared" si="5"/>
        <v>302296.66642052156</v>
      </c>
      <c r="H47" s="456">
        <f t="shared" si="6"/>
        <v>302296.66642052156</v>
      </c>
      <c r="I47" s="476">
        <f t="shared" si="7"/>
        <v>0</v>
      </c>
      <c r="J47" s="476"/>
      <c r="K47" s="488"/>
      <c r="L47" s="479">
        <f t="shared" si="8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9"/>
        <v/>
      </c>
      <c r="C48" s="473">
        <f>IF(D11="","-",+C47+1)</f>
        <v>2050</v>
      </c>
      <c r="D48" s="484">
        <f>IF(F47+SUM(E$17:E47)=D$10,F47,D$10-SUM(E$17:E47))</f>
        <v>1546103.5083056518</v>
      </c>
      <c r="E48" s="485">
        <f t="shared" si="3"/>
        <v>117640.04651162791</v>
      </c>
      <c r="F48" s="486">
        <f t="shared" si="4"/>
        <v>1428463.4617940239</v>
      </c>
      <c r="G48" s="487">
        <f t="shared" si="5"/>
        <v>288761.43378945196</v>
      </c>
      <c r="H48" s="456">
        <f t="shared" si="6"/>
        <v>288761.43378945196</v>
      </c>
      <c r="I48" s="476">
        <f t="shared" si="7"/>
        <v>0</v>
      </c>
      <c r="J48" s="476"/>
      <c r="K48" s="488"/>
      <c r="L48" s="479">
        <f t="shared" si="8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9"/>
        <v/>
      </c>
      <c r="C49" s="473">
        <f>IF(D11="","-",+C48+1)</f>
        <v>2051</v>
      </c>
      <c r="D49" s="484">
        <f>IF(F48+SUM(E$17:E48)=D$10,F48,D$10-SUM(E$17:E48))</f>
        <v>1428463.4617940239</v>
      </c>
      <c r="E49" s="485">
        <f t="shared" si="3"/>
        <v>117640.04651162791</v>
      </c>
      <c r="F49" s="486">
        <f t="shared" si="4"/>
        <v>1310823.4152823959</v>
      </c>
      <c r="G49" s="487">
        <f t="shared" si="5"/>
        <v>275226.20115838235</v>
      </c>
      <c r="H49" s="456">
        <f t="shared" si="6"/>
        <v>275226.20115838235</v>
      </c>
      <c r="I49" s="476">
        <f t="shared" si="7"/>
        <v>0</v>
      </c>
      <c r="J49" s="476"/>
      <c r="K49" s="488"/>
      <c r="L49" s="479">
        <f t="shared" si="8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9"/>
        <v/>
      </c>
      <c r="C50" s="473">
        <f>IF(D11="","-",+C49+1)</f>
        <v>2052</v>
      </c>
      <c r="D50" s="484">
        <f>IF(F49+SUM(E$17:E49)=D$10,F49,D$10-SUM(E$17:E49))</f>
        <v>1310823.4152823959</v>
      </c>
      <c r="E50" s="485">
        <f t="shared" si="3"/>
        <v>117640.04651162791</v>
      </c>
      <c r="F50" s="486">
        <f t="shared" si="4"/>
        <v>1193183.3687707679</v>
      </c>
      <c r="G50" s="487">
        <f t="shared" si="5"/>
        <v>261690.96852731268</v>
      </c>
      <c r="H50" s="456">
        <f t="shared" si="6"/>
        <v>261690.96852731268</v>
      </c>
      <c r="I50" s="476">
        <f t="shared" si="7"/>
        <v>0</v>
      </c>
      <c r="J50" s="476"/>
      <c r="K50" s="488"/>
      <c r="L50" s="479">
        <f t="shared" si="8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9"/>
        <v/>
      </c>
      <c r="C51" s="473">
        <f>IF(D11="","-",+C50+1)</f>
        <v>2053</v>
      </c>
      <c r="D51" s="484">
        <f>IF(F50+SUM(E$17:E50)=D$10,F50,D$10-SUM(E$17:E50))</f>
        <v>1193183.3687707679</v>
      </c>
      <c r="E51" s="485">
        <f t="shared" si="3"/>
        <v>117640.04651162791</v>
      </c>
      <c r="F51" s="486">
        <f t="shared" si="4"/>
        <v>1075543.32225914</v>
      </c>
      <c r="G51" s="487">
        <f t="shared" si="5"/>
        <v>248155.73589624307</v>
      </c>
      <c r="H51" s="456">
        <f t="shared" si="6"/>
        <v>248155.73589624307</v>
      </c>
      <c r="I51" s="476">
        <f t="shared" si="7"/>
        <v>0</v>
      </c>
      <c r="J51" s="476"/>
      <c r="K51" s="488"/>
      <c r="L51" s="479">
        <f t="shared" si="8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9"/>
        <v/>
      </c>
      <c r="C52" s="473">
        <f>IF(D11="","-",+C51+1)</f>
        <v>2054</v>
      </c>
      <c r="D52" s="484">
        <f>IF(F51+SUM(E$17:E51)=D$10,F51,D$10-SUM(E$17:E51))</f>
        <v>1075543.32225914</v>
      </c>
      <c r="E52" s="485">
        <f t="shared" si="3"/>
        <v>117640.04651162791</v>
      </c>
      <c r="F52" s="486">
        <f t="shared" si="4"/>
        <v>957903.275747512</v>
      </c>
      <c r="G52" s="487">
        <f t="shared" si="5"/>
        <v>234620.50326517344</v>
      </c>
      <c r="H52" s="456">
        <f t="shared" si="6"/>
        <v>234620.50326517344</v>
      </c>
      <c r="I52" s="476">
        <f t="shared" si="7"/>
        <v>0</v>
      </c>
      <c r="J52" s="476"/>
      <c r="K52" s="488"/>
      <c r="L52" s="479">
        <f t="shared" si="8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9"/>
        <v/>
      </c>
      <c r="C53" s="473">
        <f>IF(D11="","-",+C52+1)</f>
        <v>2055</v>
      </c>
      <c r="D53" s="484">
        <f>IF(F52+SUM(E$17:E52)=D$10,F52,D$10-SUM(E$17:E52))</f>
        <v>957903.275747512</v>
      </c>
      <c r="E53" s="485">
        <f t="shared" si="3"/>
        <v>117640.04651162791</v>
      </c>
      <c r="F53" s="486">
        <f t="shared" si="4"/>
        <v>840263.22923588404</v>
      </c>
      <c r="G53" s="487">
        <f t="shared" si="5"/>
        <v>221085.2706341038</v>
      </c>
      <c r="H53" s="456">
        <f t="shared" si="6"/>
        <v>221085.2706341038</v>
      </c>
      <c r="I53" s="476">
        <f t="shared" si="7"/>
        <v>0</v>
      </c>
      <c r="J53" s="476"/>
      <c r="K53" s="488"/>
      <c r="L53" s="479">
        <f t="shared" si="8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9"/>
        <v/>
      </c>
      <c r="C54" s="473">
        <f>IF(D11="","-",+C53+1)</f>
        <v>2056</v>
      </c>
      <c r="D54" s="484">
        <f>IF(F53+SUM(E$17:E53)=D$10,F53,D$10-SUM(E$17:E53))</f>
        <v>840263.22923588404</v>
      </c>
      <c r="E54" s="485">
        <f t="shared" si="3"/>
        <v>117640.04651162791</v>
      </c>
      <c r="F54" s="486">
        <f t="shared" si="4"/>
        <v>722623.18272425607</v>
      </c>
      <c r="G54" s="487">
        <f t="shared" si="5"/>
        <v>207550.03800303419</v>
      </c>
      <c r="H54" s="456">
        <f t="shared" si="6"/>
        <v>207550.03800303419</v>
      </c>
      <c r="I54" s="476">
        <f t="shared" si="7"/>
        <v>0</v>
      </c>
      <c r="J54" s="476"/>
      <c r="K54" s="488"/>
      <c r="L54" s="479">
        <f t="shared" si="8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9"/>
        <v/>
      </c>
      <c r="C55" s="473">
        <f>IF(D11="","-",+C54+1)</f>
        <v>2057</v>
      </c>
      <c r="D55" s="484">
        <f>IF(F54+SUM(E$17:E54)=D$10,F54,D$10-SUM(E$17:E54))</f>
        <v>722623.18272425607</v>
      </c>
      <c r="E55" s="485">
        <f t="shared" si="3"/>
        <v>117640.04651162791</v>
      </c>
      <c r="F55" s="486">
        <f t="shared" si="4"/>
        <v>604983.1362126281</v>
      </c>
      <c r="G55" s="487">
        <f t="shared" si="5"/>
        <v>194014.80537196455</v>
      </c>
      <c r="H55" s="456">
        <f t="shared" si="6"/>
        <v>194014.80537196455</v>
      </c>
      <c r="I55" s="476">
        <f t="shared" si="7"/>
        <v>0</v>
      </c>
      <c r="J55" s="476"/>
      <c r="K55" s="488"/>
      <c r="L55" s="479">
        <f t="shared" si="8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9"/>
        <v/>
      </c>
      <c r="C56" s="473">
        <f>IF(D11="","-",+C55+1)</f>
        <v>2058</v>
      </c>
      <c r="D56" s="484">
        <f>IF(F55+SUM(E$17:E55)=D$10,F55,D$10-SUM(E$17:E55))</f>
        <v>604983.1362126281</v>
      </c>
      <c r="E56" s="485">
        <f t="shared" si="3"/>
        <v>117640.04651162791</v>
      </c>
      <c r="F56" s="486">
        <f t="shared" si="4"/>
        <v>487343.08970100019</v>
      </c>
      <c r="G56" s="487">
        <f t="shared" si="5"/>
        <v>180479.57274089492</v>
      </c>
      <c r="H56" s="456">
        <f t="shared" si="6"/>
        <v>180479.57274089492</v>
      </c>
      <c r="I56" s="476">
        <f t="shared" si="7"/>
        <v>0</v>
      </c>
      <c r="J56" s="476"/>
      <c r="K56" s="488"/>
      <c r="L56" s="479">
        <f t="shared" si="8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9"/>
        <v/>
      </c>
      <c r="C57" s="473">
        <f>IF(D11="","-",+C56+1)</f>
        <v>2059</v>
      </c>
      <c r="D57" s="484">
        <f>IF(F56+SUM(E$17:E56)=D$10,F56,D$10-SUM(E$17:E56))</f>
        <v>487343.08970100019</v>
      </c>
      <c r="E57" s="485">
        <f t="shared" si="3"/>
        <v>117640.04651162791</v>
      </c>
      <c r="F57" s="486">
        <f t="shared" si="4"/>
        <v>369703.04318937229</v>
      </c>
      <c r="G57" s="487">
        <f t="shared" si="5"/>
        <v>166944.34010982531</v>
      </c>
      <c r="H57" s="456">
        <f t="shared" si="6"/>
        <v>166944.34010982531</v>
      </c>
      <c r="I57" s="476">
        <f t="shared" si="7"/>
        <v>0</v>
      </c>
      <c r="J57" s="476"/>
      <c r="K57" s="488"/>
      <c r="L57" s="479">
        <f t="shared" si="8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9"/>
        <v/>
      </c>
      <c r="C58" s="473">
        <f>IF(D11="","-",+C57+1)</f>
        <v>2060</v>
      </c>
      <c r="D58" s="484">
        <f>IF(F57+SUM(E$17:E57)=D$10,F57,D$10-SUM(E$17:E57))</f>
        <v>369703.04318937229</v>
      </c>
      <c r="E58" s="485">
        <f t="shared" si="3"/>
        <v>117640.04651162791</v>
      </c>
      <c r="F58" s="486">
        <f t="shared" si="4"/>
        <v>252062.99667774438</v>
      </c>
      <c r="G58" s="487">
        <f t="shared" si="5"/>
        <v>153409.10747875567</v>
      </c>
      <c r="H58" s="456">
        <f t="shared" si="6"/>
        <v>153409.10747875567</v>
      </c>
      <c r="I58" s="476">
        <f t="shared" si="7"/>
        <v>0</v>
      </c>
      <c r="J58" s="476"/>
      <c r="K58" s="488"/>
      <c r="L58" s="479">
        <f t="shared" si="8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9"/>
        <v/>
      </c>
      <c r="C59" s="473">
        <f>IF(D11="","-",+C58+1)</f>
        <v>2061</v>
      </c>
      <c r="D59" s="484">
        <f>IF(F58+SUM(E$17:E58)=D$10,F58,D$10-SUM(E$17:E58))</f>
        <v>252062.99667774438</v>
      </c>
      <c r="E59" s="485">
        <f t="shared" si="3"/>
        <v>117640.04651162791</v>
      </c>
      <c r="F59" s="486">
        <f t="shared" si="4"/>
        <v>134422.95016611647</v>
      </c>
      <c r="G59" s="487">
        <f t="shared" si="5"/>
        <v>139873.87484768606</v>
      </c>
      <c r="H59" s="456">
        <f t="shared" si="6"/>
        <v>139873.87484768606</v>
      </c>
      <c r="I59" s="476">
        <f t="shared" si="7"/>
        <v>0</v>
      </c>
      <c r="J59" s="476"/>
      <c r="K59" s="488"/>
      <c r="L59" s="479">
        <f t="shared" si="8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9"/>
        <v/>
      </c>
      <c r="C60" s="473">
        <f>IF(D11="","-",+C59+1)</f>
        <v>2062</v>
      </c>
      <c r="D60" s="484">
        <f>IF(F59+SUM(E$17:E59)=D$10,F59,D$10-SUM(E$17:E59))</f>
        <v>134422.95016611647</v>
      </c>
      <c r="E60" s="485">
        <f t="shared" si="3"/>
        <v>117640.04651162791</v>
      </c>
      <c r="F60" s="486">
        <f t="shared" si="4"/>
        <v>16782.90365448856</v>
      </c>
      <c r="G60" s="487">
        <f t="shared" si="5"/>
        <v>126338.64221661644</v>
      </c>
      <c r="H60" s="456">
        <f t="shared" si="6"/>
        <v>126338.64221661644</v>
      </c>
      <c r="I60" s="476">
        <f t="shared" si="7"/>
        <v>0</v>
      </c>
      <c r="J60" s="476"/>
      <c r="K60" s="488"/>
      <c r="L60" s="479">
        <f t="shared" si="8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9"/>
        <v/>
      </c>
      <c r="C61" s="473">
        <f>IF(D11="","-",+C60+1)</f>
        <v>2063</v>
      </c>
      <c r="D61" s="484">
        <f>IF(F60+SUM(E$17:E60)=D$10,F60,D$10-SUM(E$17:E60))</f>
        <v>16782.90365448856</v>
      </c>
      <c r="E61" s="485">
        <f t="shared" si="3"/>
        <v>16782.90365448856</v>
      </c>
      <c r="F61" s="486">
        <f t="shared" si="4"/>
        <v>0</v>
      </c>
      <c r="G61" s="487">
        <f t="shared" si="5"/>
        <v>17748.393349215425</v>
      </c>
      <c r="H61" s="456">
        <f t="shared" si="6"/>
        <v>17748.393349215425</v>
      </c>
      <c r="I61" s="476">
        <f t="shared" si="7"/>
        <v>0</v>
      </c>
      <c r="J61" s="476"/>
      <c r="K61" s="488"/>
      <c r="L61" s="479">
        <f t="shared" si="8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9"/>
        <v/>
      </c>
      <c r="C62" s="473">
        <f>IF(D11="","-",+C61+1)</f>
        <v>2064</v>
      </c>
      <c r="D62" s="484">
        <f>IF(F61+SUM(E$17:E61)=D$10,F61,D$10-SUM(E$17:E61))</f>
        <v>0</v>
      </c>
      <c r="E62" s="485">
        <f t="shared" si="3"/>
        <v>0</v>
      </c>
      <c r="F62" s="486">
        <f t="shared" si="4"/>
        <v>0</v>
      </c>
      <c r="G62" s="487">
        <f t="shared" si="5"/>
        <v>0</v>
      </c>
      <c r="H62" s="456">
        <f t="shared" si="6"/>
        <v>0</v>
      </c>
      <c r="I62" s="476">
        <f t="shared" si="7"/>
        <v>0</v>
      </c>
      <c r="J62" s="476"/>
      <c r="K62" s="488"/>
      <c r="L62" s="479">
        <f t="shared" si="8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9"/>
        <v/>
      </c>
      <c r="C63" s="473">
        <f>IF(D11="","-",+C62+1)</f>
        <v>2065</v>
      </c>
      <c r="D63" s="484">
        <f>IF(F62+SUM(E$17:E62)=D$10,F62,D$10-SUM(E$17:E62))</f>
        <v>0</v>
      </c>
      <c r="E63" s="485">
        <f t="shared" si="3"/>
        <v>0</v>
      </c>
      <c r="F63" s="486">
        <f t="shared" si="4"/>
        <v>0</v>
      </c>
      <c r="G63" s="487">
        <f t="shared" si="5"/>
        <v>0</v>
      </c>
      <c r="H63" s="456">
        <f t="shared" si="6"/>
        <v>0</v>
      </c>
      <c r="I63" s="476">
        <f t="shared" si="7"/>
        <v>0</v>
      </c>
      <c r="J63" s="476"/>
      <c r="K63" s="488"/>
      <c r="L63" s="479">
        <f t="shared" si="8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9"/>
        <v/>
      </c>
      <c r="C64" s="473">
        <f>IF(D11="","-",+C63+1)</f>
        <v>2066</v>
      </c>
      <c r="D64" s="484">
        <f>IF(F63+SUM(E$17:E63)=D$10,F63,D$10-SUM(E$17:E63))</f>
        <v>0</v>
      </c>
      <c r="E64" s="485">
        <f t="shared" si="3"/>
        <v>0</v>
      </c>
      <c r="F64" s="486">
        <f t="shared" si="4"/>
        <v>0</v>
      </c>
      <c r="G64" s="487">
        <f t="shared" si="5"/>
        <v>0</v>
      </c>
      <c r="H64" s="456">
        <f t="shared" si="6"/>
        <v>0</v>
      </c>
      <c r="I64" s="476">
        <f t="shared" si="7"/>
        <v>0</v>
      </c>
      <c r="J64" s="476"/>
      <c r="K64" s="488"/>
      <c r="L64" s="479">
        <f t="shared" si="8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9"/>
        <v/>
      </c>
      <c r="C65" s="473">
        <f>IF(D11="","-",+C64+1)</f>
        <v>2067</v>
      </c>
      <c r="D65" s="484">
        <f>IF(F64+SUM(E$17:E64)=D$10,F64,D$10-SUM(E$17:E64))</f>
        <v>0</v>
      </c>
      <c r="E65" s="485">
        <f t="shared" si="3"/>
        <v>0</v>
      </c>
      <c r="F65" s="486">
        <f t="shared" si="4"/>
        <v>0</v>
      </c>
      <c r="G65" s="487">
        <f t="shared" si="5"/>
        <v>0</v>
      </c>
      <c r="H65" s="456">
        <f t="shared" si="6"/>
        <v>0</v>
      </c>
      <c r="I65" s="476">
        <f t="shared" si="7"/>
        <v>0</v>
      </c>
      <c r="J65" s="476"/>
      <c r="K65" s="488"/>
      <c r="L65" s="479">
        <f t="shared" si="8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9"/>
        <v/>
      </c>
      <c r="C66" s="473">
        <f>IF(D11="","-",+C65+1)</f>
        <v>2068</v>
      </c>
      <c r="D66" s="484">
        <f>IF(F65+SUM(E$17:E65)=D$10,F65,D$10-SUM(E$17:E65))</f>
        <v>0</v>
      </c>
      <c r="E66" s="485">
        <f t="shared" si="3"/>
        <v>0</v>
      </c>
      <c r="F66" s="486">
        <f t="shared" si="4"/>
        <v>0</v>
      </c>
      <c r="G66" s="487">
        <f t="shared" si="5"/>
        <v>0</v>
      </c>
      <c r="H66" s="456">
        <f t="shared" si="6"/>
        <v>0</v>
      </c>
      <c r="I66" s="476">
        <f t="shared" si="7"/>
        <v>0</v>
      </c>
      <c r="J66" s="476"/>
      <c r="K66" s="488"/>
      <c r="L66" s="479">
        <f t="shared" si="8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9"/>
        <v/>
      </c>
      <c r="C67" s="473">
        <f>IF(D11="","-",+C66+1)</f>
        <v>2069</v>
      </c>
      <c r="D67" s="484">
        <f>IF(F66+SUM(E$17:E66)=D$10,F66,D$10-SUM(E$17:E66))</f>
        <v>0</v>
      </c>
      <c r="E67" s="485">
        <f t="shared" si="3"/>
        <v>0</v>
      </c>
      <c r="F67" s="486">
        <f t="shared" si="4"/>
        <v>0</v>
      </c>
      <c r="G67" s="487">
        <f t="shared" si="5"/>
        <v>0</v>
      </c>
      <c r="H67" s="456">
        <f t="shared" si="6"/>
        <v>0</v>
      </c>
      <c r="I67" s="476">
        <f t="shared" si="7"/>
        <v>0</v>
      </c>
      <c r="J67" s="476"/>
      <c r="K67" s="488"/>
      <c r="L67" s="479">
        <f t="shared" si="8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9"/>
        <v/>
      </c>
      <c r="C68" s="473">
        <f>IF(D11="","-",+C67+1)</f>
        <v>2070</v>
      </c>
      <c r="D68" s="484">
        <f>IF(F67+SUM(E$17:E67)=D$10,F67,D$10-SUM(E$17:E67))</f>
        <v>0</v>
      </c>
      <c r="E68" s="485">
        <f t="shared" si="3"/>
        <v>0</v>
      </c>
      <c r="F68" s="486">
        <f t="shared" si="4"/>
        <v>0</v>
      </c>
      <c r="G68" s="487">
        <f t="shared" si="5"/>
        <v>0</v>
      </c>
      <c r="H68" s="456">
        <f t="shared" si="6"/>
        <v>0</v>
      </c>
      <c r="I68" s="476">
        <f t="shared" si="7"/>
        <v>0</v>
      </c>
      <c r="J68" s="476"/>
      <c r="K68" s="488"/>
      <c r="L68" s="479">
        <f t="shared" si="8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9"/>
        <v/>
      </c>
      <c r="C69" s="473">
        <f>IF(D11="","-",+C68+1)</f>
        <v>2071</v>
      </c>
      <c r="D69" s="484">
        <f>IF(F68+SUM(E$17:E68)=D$10,F68,D$10-SUM(E$17:E68))</f>
        <v>0</v>
      </c>
      <c r="E69" s="485">
        <f t="shared" si="3"/>
        <v>0</v>
      </c>
      <c r="F69" s="486">
        <f t="shared" si="4"/>
        <v>0</v>
      </c>
      <c r="G69" s="487">
        <f t="shared" si="5"/>
        <v>0</v>
      </c>
      <c r="H69" s="456">
        <f t="shared" si="6"/>
        <v>0</v>
      </c>
      <c r="I69" s="476">
        <f t="shared" si="7"/>
        <v>0</v>
      </c>
      <c r="J69" s="476"/>
      <c r="K69" s="488"/>
      <c r="L69" s="479">
        <f t="shared" si="8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9"/>
        <v/>
      </c>
      <c r="C70" s="473">
        <f>IF(D11="","-",+C69+1)</f>
        <v>2072</v>
      </c>
      <c r="D70" s="484">
        <f>IF(F69+SUM(E$17:E69)=D$10,F69,D$10-SUM(E$17:E69))</f>
        <v>0</v>
      </c>
      <c r="E70" s="485">
        <f t="shared" si="3"/>
        <v>0</v>
      </c>
      <c r="F70" s="486">
        <f t="shared" si="4"/>
        <v>0</v>
      </c>
      <c r="G70" s="487">
        <f t="shared" si="5"/>
        <v>0</v>
      </c>
      <c r="H70" s="456">
        <f t="shared" si="6"/>
        <v>0</v>
      </c>
      <c r="I70" s="476">
        <f t="shared" si="7"/>
        <v>0</v>
      </c>
      <c r="J70" s="476"/>
      <c r="K70" s="488"/>
      <c r="L70" s="479">
        <f t="shared" si="8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9"/>
        <v/>
      </c>
      <c r="C71" s="473">
        <f>IF(D11="","-",+C70+1)</f>
        <v>2073</v>
      </c>
      <c r="D71" s="484">
        <f>IF(F70+SUM(E$17:E70)=D$10,F70,D$10-SUM(E$17:E70))</f>
        <v>0</v>
      </c>
      <c r="E71" s="485">
        <f t="shared" si="3"/>
        <v>0</v>
      </c>
      <c r="F71" s="486">
        <f t="shared" si="4"/>
        <v>0</v>
      </c>
      <c r="G71" s="487">
        <f t="shared" si="5"/>
        <v>0</v>
      </c>
      <c r="H71" s="456">
        <f t="shared" si="6"/>
        <v>0</v>
      </c>
      <c r="I71" s="476">
        <f t="shared" si="7"/>
        <v>0</v>
      </c>
      <c r="J71" s="476"/>
      <c r="K71" s="488"/>
      <c r="L71" s="479">
        <f t="shared" si="8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9"/>
        <v/>
      </c>
      <c r="C72" s="490">
        <f>IF(D11="","-",+C71+1)</f>
        <v>2074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8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5058522</v>
      </c>
      <c r="F73" s="348"/>
      <c r="G73" s="348">
        <f>SUM(G17:G72)</f>
        <v>17760738.173511676</v>
      </c>
      <c r="H73" s="348">
        <f>SUM(H17:H72)</f>
        <v>17760738.173511676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27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552918.85124067403</v>
      </c>
      <c r="N87" s="509">
        <f>IF(J92&lt;D11,0,VLOOKUP(J92,C17:O72,11))</f>
        <v>552918.85124067403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683432.56004823186</v>
      </c>
      <c r="N88" s="513">
        <f>IF(J92&lt;D11,0,VLOOKUP(J92,C99:P154,7))</f>
        <v>683432.56004823186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Broken Arrow North-Lynn Lane East 138 kV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130513.70880755782</v>
      </c>
      <c r="N89" s="518">
        <f>+N88-N87</f>
        <v>130513.70880755782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TP2017016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5058589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2019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3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117642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2019</v>
      </c>
      <c r="D99" s="585">
        <v>0</v>
      </c>
      <c r="E99" s="609">
        <v>92534.25</v>
      </c>
      <c r="F99" s="585">
        <v>4965987.75</v>
      </c>
      <c r="G99" s="609">
        <v>2482993.875</v>
      </c>
      <c r="H99" s="588">
        <v>348565.74518479535</v>
      </c>
      <c r="I99" s="608">
        <v>348565.74518479535</v>
      </c>
      <c r="J99" s="479">
        <f>+I99-H99</f>
        <v>0</v>
      </c>
      <c r="K99" s="479"/>
      <c r="L99" s="478">
        <f>+H99</f>
        <v>348565.74518479535</v>
      </c>
      <c r="M99" s="478">
        <f t="shared" ref="M99" si="10">IF(L99&lt;&gt;0,+H99-L99,0)</f>
        <v>0</v>
      </c>
      <c r="N99" s="478">
        <f>+I99</f>
        <v>348565.74518479535</v>
      </c>
      <c r="O99" s="478">
        <f t="shared" ref="O99:O130" si="11">IF(N99&lt;&gt;0,+I99-N99,0)</f>
        <v>0</v>
      </c>
      <c r="P99" s="478">
        <f t="shared" ref="P99:P130" si="12">+O99-M99</f>
        <v>0</v>
      </c>
    </row>
    <row r="100" spans="1:16" ht="12.5">
      <c r="B100" s="160" t="str">
        <f>IF(D100=F99,"","IU")</f>
        <v>IU</v>
      </c>
      <c r="C100" s="473">
        <f>IF(D93="","-",+C99+1)</f>
        <v>2020</v>
      </c>
      <c r="D100" s="347">
        <f>IF(F99+SUM(E$99:E99)=D$92,F99,D$92-SUM(E$99:E99))</f>
        <v>4966054.75</v>
      </c>
      <c r="E100" s="485">
        <f>IF(+J$96&lt;F99,J$96,D100)</f>
        <v>117642</v>
      </c>
      <c r="F100" s="486">
        <f>+D100-E100</f>
        <v>4848412.75</v>
      </c>
      <c r="G100" s="486">
        <f>+(F100+D100)/2</f>
        <v>4907233.75</v>
      </c>
      <c r="H100" s="487">
        <f>(D100+F100)/2*J$94+E100</f>
        <v>683432.56004823186</v>
      </c>
      <c r="I100" s="543">
        <f t="shared" ref="I100" si="13">+J$95*G100+E100</f>
        <v>683432.56004823186</v>
      </c>
      <c r="J100" s="479">
        <f t="shared" ref="J100:J130" si="14">+I100-H100</f>
        <v>0</v>
      </c>
      <c r="K100" s="479"/>
      <c r="L100" s="488"/>
      <c r="M100" s="479">
        <f t="shared" ref="M100:M130" si="15">IF(L100&lt;&gt;0,+H100-L100,0)</f>
        <v>0</v>
      </c>
      <c r="N100" s="488"/>
      <c r="O100" s="479">
        <f t="shared" si="11"/>
        <v>0</v>
      </c>
      <c r="P100" s="479">
        <f t="shared" si="12"/>
        <v>0</v>
      </c>
    </row>
    <row r="101" spans="1:16" ht="12.5">
      <c r="B101" s="160" t="str">
        <f t="shared" ref="B101:B154" si="16">IF(D101=F100,"","IU")</f>
        <v/>
      </c>
      <c r="C101" s="473">
        <f>IF(D93="","-",+C100+1)</f>
        <v>2021</v>
      </c>
      <c r="D101" s="347">
        <f>IF(F100+SUM(E$99:E100)=D$92,F100,D$92-SUM(E$99:E100))</f>
        <v>4848412.75</v>
      </c>
      <c r="E101" s="485">
        <f t="shared" ref="E101:E154" si="17">IF(+J$96&lt;F100,J$96,D101)</f>
        <v>117642</v>
      </c>
      <c r="F101" s="486">
        <f t="shared" ref="F101:F154" si="18">+D101-E101</f>
        <v>4730770.75</v>
      </c>
      <c r="G101" s="486">
        <f t="shared" ref="G101:G154" si="19">+(F101+D101)/2</f>
        <v>4789591.75</v>
      </c>
      <c r="H101" s="487">
        <f t="shared" ref="H101:H153" si="20">(D101+F101)/2*J$94+E101</f>
        <v>669868.76087824244</v>
      </c>
      <c r="I101" s="543">
        <f t="shared" ref="I101:I153" si="21">+J$95*G101+E101</f>
        <v>669868.76087824244</v>
      </c>
      <c r="J101" s="479">
        <f t="shared" si="14"/>
        <v>0</v>
      </c>
      <c r="K101" s="479"/>
      <c r="L101" s="488"/>
      <c r="M101" s="479">
        <f t="shared" si="15"/>
        <v>0</v>
      </c>
      <c r="N101" s="488"/>
      <c r="O101" s="479">
        <f t="shared" si="11"/>
        <v>0</v>
      </c>
      <c r="P101" s="479">
        <f t="shared" si="12"/>
        <v>0</v>
      </c>
    </row>
    <row r="102" spans="1:16" ht="12.5">
      <c r="B102" s="160" t="str">
        <f t="shared" si="16"/>
        <v/>
      </c>
      <c r="C102" s="473">
        <f>IF(D93="","-",+C101+1)</f>
        <v>2022</v>
      </c>
      <c r="D102" s="347">
        <f>IF(F101+SUM(E$99:E101)=D$92,F101,D$92-SUM(E$99:E101))</f>
        <v>4730770.75</v>
      </c>
      <c r="E102" s="485">
        <f t="shared" si="17"/>
        <v>117642</v>
      </c>
      <c r="F102" s="486">
        <f t="shared" si="18"/>
        <v>4613128.75</v>
      </c>
      <c r="G102" s="486">
        <f t="shared" si="19"/>
        <v>4671949.75</v>
      </c>
      <c r="H102" s="487">
        <f t="shared" si="20"/>
        <v>656304.96170825302</v>
      </c>
      <c r="I102" s="543">
        <f t="shared" si="21"/>
        <v>656304.96170825302</v>
      </c>
      <c r="J102" s="479">
        <f t="shared" si="14"/>
        <v>0</v>
      </c>
      <c r="K102" s="479"/>
      <c r="L102" s="488"/>
      <c r="M102" s="479">
        <f t="shared" si="15"/>
        <v>0</v>
      </c>
      <c r="N102" s="488"/>
      <c r="O102" s="479">
        <f t="shared" si="11"/>
        <v>0</v>
      </c>
      <c r="P102" s="479">
        <f t="shared" si="12"/>
        <v>0</v>
      </c>
    </row>
    <row r="103" spans="1:16" ht="12.5">
      <c r="B103" s="160" t="str">
        <f t="shared" si="16"/>
        <v/>
      </c>
      <c r="C103" s="473">
        <f>IF(D93="","-",+C102+1)</f>
        <v>2023</v>
      </c>
      <c r="D103" s="347">
        <f>IF(F102+SUM(E$99:E102)=D$92,F102,D$92-SUM(E$99:E102))</f>
        <v>4613128.75</v>
      </c>
      <c r="E103" s="485">
        <f t="shared" si="17"/>
        <v>117642</v>
      </c>
      <c r="F103" s="486">
        <f t="shared" si="18"/>
        <v>4495486.75</v>
      </c>
      <c r="G103" s="486">
        <f t="shared" si="19"/>
        <v>4554307.75</v>
      </c>
      <c r="H103" s="487">
        <f t="shared" si="20"/>
        <v>642741.1625382636</v>
      </c>
      <c r="I103" s="543">
        <f t="shared" si="21"/>
        <v>642741.1625382636</v>
      </c>
      <c r="J103" s="479">
        <f t="shared" si="14"/>
        <v>0</v>
      </c>
      <c r="K103" s="479"/>
      <c r="L103" s="488"/>
      <c r="M103" s="479">
        <f t="shared" si="15"/>
        <v>0</v>
      </c>
      <c r="N103" s="488"/>
      <c r="O103" s="479">
        <f t="shared" si="11"/>
        <v>0</v>
      </c>
      <c r="P103" s="479">
        <f t="shared" si="12"/>
        <v>0</v>
      </c>
    </row>
    <row r="104" spans="1:16" ht="12.5">
      <c r="B104" s="160" t="str">
        <f t="shared" si="16"/>
        <v/>
      </c>
      <c r="C104" s="473">
        <f>IF(D93="","-",+C103+1)</f>
        <v>2024</v>
      </c>
      <c r="D104" s="347">
        <f>IF(F103+SUM(E$99:E103)=D$92,F103,D$92-SUM(E$99:E103))</f>
        <v>4495486.75</v>
      </c>
      <c r="E104" s="485">
        <f t="shared" si="17"/>
        <v>117642</v>
      </c>
      <c r="F104" s="486">
        <f t="shared" si="18"/>
        <v>4377844.75</v>
      </c>
      <c r="G104" s="486">
        <f t="shared" si="19"/>
        <v>4436665.75</v>
      </c>
      <c r="H104" s="487">
        <f t="shared" si="20"/>
        <v>629177.36336827418</v>
      </c>
      <c r="I104" s="543">
        <f t="shared" si="21"/>
        <v>629177.36336827418</v>
      </c>
      <c r="J104" s="479">
        <f t="shared" si="14"/>
        <v>0</v>
      </c>
      <c r="K104" s="479"/>
      <c r="L104" s="488"/>
      <c r="M104" s="479">
        <f t="shared" si="15"/>
        <v>0</v>
      </c>
      <c r="N104" s="488"/>
      <c r="O104" s="479">
        <f t="shared" si="11"/>
        <v>0</v>
      </c>
      <c r="P104" s="479">
        <f t="shared" si="12"/>
        <v>0</v>
      </c>
    </row>
    <row r="105" spans="1:16" ht="12.5">
      <c r="B105" s="160" t="str">
        <f t="shared" si="16"/>
        <v/>
      </c>
      <c r="C105" s="473">
        <f>IF(D93="","-",+C104+1)</f>
        <v>2025</v>
      </c>
      <c r="D105" s="347">
        <f>IF(F104+SUM(E$99:E104)=D$92,F104,D$92-SUM(E$99:E104))</f>
        <v>4377844.75</v>
      </c>
      <c r="E105" s="485">
        <f t="shared" si="17"/>
        <v>117642</v>
      </c>
      <c r="F105" s="486">
        <f t="shared" si="18"/>
        <v>4260202.75</v>
      </c>
      <c r="G105" s="486">
        <f t="shared" si="19"/>
        <v>4319023.75</v>
      </c>
      <c r="H105" s="487">
        <f t="shared" si="20"/>
        <v>615613.56419828476</v>
      </c>
      <c r="I105" s="543">
        <f t="shared" si="21"/>
        <v>615613.56419828476</v>
      </c>
      <c r="J105" s="479">
        <f t="shared" si="14"/>
        <v>0</v>
      </c>
      <c r="K105" s="479"/>
      <c r="L105" s="488"/>
      <c r="M105" s="479">
        <f t="shared" si="15"/>
        <v>0</v>
      </c>
      <c r="N105" s="488"/>
      <c r="O105" s="479">
        <f t="shared" si="11"/>
        <v>0</v>
      </c>
      <c r="P105" s="479">
        <f t="shared" si="12"/>
        <v>0</v>
      </c>
    </row>
    <row r="106" spans="1:16" ht="12.5">
      <c r="B106" s="160" t="str">
        <f t="shared" si="16"/>
        <v/>
      </c>
      <c r="C106" s="473">
        <f>IF(D93="","-",+C105+1)</f>
        <v>2026</v>
      </c>
      <c r="D106" s="347">
        <f>IF(F105+SUM(E$99:E105)=D$92,F105,D$92-SUM(E$99:E105))</f>
        <v>4260202.75</v>
      </c>
      <c r="E106" s="485">
        <f t="shared" si="17"/>
        <v>117642</v>
      </c>
      <c r="F106" s="486">
        <f t="shared" si="18"/>
        <v>4142560.75</v>
      </c>
      <c r="G106" s="486">
        <f t="shared" si="19"/>
        <v>4201381.75</v>
      </c>
      <c r="H106" s="487">
        <f t="shared" si="20"/>
        <v>602049.76502829534</v>
      </c>
      <c r="I106" s="543">
        <f t="shared" si="21"/>
        <v>602049.76502829534</v>
      </c>
      <c r="J106" s="479">
        <f t="shared" si="14"/>
        <v>0</v>
      </c>
      <c r="K106" s="479"/>
      <c r="L106" s="488"/>
      <c r="M106" s="479">
        <f t="shared" si="15"/>
        <v>0</v>
      </c>
      <c r="N106" s="488"/>
      <c r="O106" s="479">
        <f t="shared" si="11"/>
        <v>0</v>
      </c>
      <c r="P106" s="479">
        <f t="shared" si="12"/>
        <v>0</v>
      </c>
    </row>
    <row r="107" spans="1:16" ht="12.5">
      <c r="B107" s="160" t="str">
        <f t="shared" si="16"/>
        <v/>
      </c>
      <c r="C107" s="473">
        <f>IF(D93="","-",+C106+1)</f>
        <v>2027</v>
      </c>
      <c r="D107" s="347">
        <f>IF(F106+SUM(E$99:E106)=D$92,F106,D$92-SUM(E$99:E106))</f>
        <v>4142560.75</v>
      </c>
      <c r="E107" s="485">
        <f t="shared" si="17"/>
        <v>117642</v>
      </c>
      <c r="F107" s="486">
        <f t="shared" si="18"/>
        <v>4024918.75</v>
      </c>
      <c r="G107" s="486">
        <f t="shared" si="19"/>
        <v>4083739.75</v>
      </c>
      <c r="H107" s="487">
        <f t="shared" si="20"/>
        <v>588485.96585830592</v>
      </c>
      <c r="I107" s="543">
        <f t="shared" si="21"/>
        <v>588485.96585830592</v>
      </c>
      <c r="J107" s="479">
        <f t="shared" si="14"/>
        <v>0</v>
      </c>
      <c r="K107" s="479"/>
      <c r="L107" s="488"/>
      <c r="M107" s="479">
        <f t="shared" si="15"/>
        <v>0</v>
      </c>
      <c r="N107" s="488"/>
      <c r="O107" s="479">
        <f t="shared" si="11"/>
        <v>0</v>
      </c>
      <c r="P107" s="479">
        <f t="shared" si="12"/>
        <v>0</v>
      </c>
    </row>
    <row r="108" spans="1:16" ht="12.5">
      <c r="B108" s="160" t="str">
        <f t="shared" si="16"/>
        <v/>
      </c>
      <c r="C108" s="473">
        <f>IF(D93="","-",+C107+1)</f>
        <v>2028</v>
      </c>
      <c r="D108" s="347">
        <f>IF(F107+SUM(E$99:E107)=D$92,F107,D$92-SUM(E$99:E107))</f>
        <v>4024918.75</v>
      </c>
      <c r="E108" s="485">
        <f t="shared" si="17"/>
        <v>117642</v>
      </c>
      <c r="F108" s="486">
        <f t="shared" si="18"/>
        <v>3907276.75</v>
      </c>
      <c r="G108" s="486">
        <f t="shared" si="19"/>
        <v>3966097.75</v>
      </c>
      <c r="H108" s="487">
        <f t="shared" si="20"/>
        <v>574922.1666883165</v>
      </c>
      <c r="I108" s="543">
        <f t="shared" si="21"/>
        <v>574922.1666883165</v>
      </c>
      <c r="J108" s="479">
        <f t="shared" si="14"/>
        <v>0</v>
      </c>
      <c r="K108" s="479"/>
      <c r="L108" s="488"/>
      <c r="M108" s="479">
        <f t="shared" si="15"/>
        <v>0</v>
      </c>
      <c r="N108" s="488"/>
      <c r="O108" s="479">
        <f t="shared" si="11"/>
        <v>0</v>
      </c>
      <c r="P108" s="479">
        <f t="shared" si="12"/>
        <v>0</v>
      </c>
    </row>
    <row r="109" spans="1:16" ht="12.5">
      <c r="B109" s="160" t="str">
        <f t="shared" si="16"/>
        <v/>
      </c>
      <c r="C109" s="473">
        <f>IF(D93="","-",+C108+1)</f>
        <v>2029</v>
      </c>
      <c r="D109" s="347">
        <f>IF(F108+SUM(E$99:E108)=D$92,F108,D$92-SUM(E$99:E108))</f>
        <v>3907276.75</v>
      </c>
      <c r="E109" s="485">
        <f t="shared" si="17"/>
        <v>117642</v>
      </c>
      <c r="F109" s="486">
        <f t="shared" si="18"/>
        <v>3789634.75</v>
      </c>
      <c r="G109" s="486">
        <f t="shared" si="19"/>
        <v>3848455.75</v>
      </c>
      <c r="H109" s="487">
        <f t="shared" si="20"/>
        <v>561358.36751832708</v>
      </c>
      <c r="I109" s="543">
        <f t="shared" si="21"/>
        <v>561358.36751832708</v>
      </c>
      <c r="J109" s="479">
        <f t="shared" si="14"/>
        <v>0</v>
      </c>
      <c r="K109" s="479"/>
      <c r="L109" s="488"/>
      <c r="M109" s="479">
        <f t="shared" si="15"/>
        <v>0</v>
      </c>
      <c r="N109" s="488"/>
      <c r="O109" s="479">
        <f t="shared" si="11"/>
        <v>0</v>
      </c>
      <c r="P109" s="479">
        <f t="shared" si="12"/>
        <v>0</v>
      </c>
    </row>
    <row r="110" spans="1:16" ht="12.5">
      <c r="B110" s="160" t="str">
        <f t="shared" si="16"/>
        <v/>
      </c>
      <c r="C110" s="473">
        <f>IF(D93="","-",+C109+1)</f>
        <v>2030</v>
      </c>
      <c r="D110" s="347">
        <f>IF(F109+SUM(E$99:E109)=D$92,F109,D$92-SUM(E$99:E109))</f>
        <v>3789634.75</v>
      </c>
      <c r="E110" s="485">
        <f t="shared" si="17"/>
        <v>117642</v>
      </c>
      <c r="F110" s="486">
        <f t="shared" si="18"/>
        <v>3671992.75</v>
      </c>
      <c r="G110" s="486">
        <f t="shared" si="19"/>
        <v>3730813.75</v>
      </c>
      <c r="H110" s="487">
        <f t="shared" si="20"/>
        <v>547794.56834833766</v>
      </c>
      <c r="I110" s="543">
        <f t="shared" si="21"/>
        <v>547794.56834833766</v>
      </c>
      <c r="J110" s="479">
        <f t="shared" si="14"/>
        <v>0</v>
      </c>
      <c r="K110" s="479"/>
      <c r="L110" s="488"/>
      <c r="M110" s="479">
        <f t="shared" si="15"/>
        <v>0</v>
      </c>
      <c r="N110" s="488"/>
      <c r="O110" s="479">
        <f t="shared" si="11"/>
        <v>0</v>
      </c>
      <c r="P110" s="479">
        <f t="shared" si="12"/>
        <v>0</v>
      </c>
    </row>
    <row r="111" spans="1:16" ht="12.5">
      <c r="B111" s="160" t="str">
        <f t="shared" si="16"/>
        <v/>
      </c>
      <c r="C111" s="473">
        <f>IF(D93="","-",+C110+1)</f>
        <v>2031</v>
      </c>
      <c r="D111" s="347">
        <f>IF(F110+SUM(E$99:E110)=D$92,F110,D$92-SUM(E$99:E110))</f>
        <v>3671992.75</v>
      </c>
      <c r="E111" s="485">
        <f t="shared" si="17"/>
        <v>117642</v>
      </c>
      <c r="F111" s="486">
        <f t="shared" si="18"/>
        <v>3554350.75</v>
      </c>
      <c r="G111" s="486">
        <f t="shared" si="19"/>
        <v>3613171.75</v>
      </c>
      <c r="H111" s="487">
        <f t="shared" si="20"/>
        <v>534230.76917834813</v>
      </c>
      <c r="I111" s="543">
        <f t="shared" si="21"/>
        <v>534230.76917834813</v>
      </c>
      <c r="J111" s="479">
        <f t="shared" si="14"/>
        <v>0</v>
      </c>
      <c r="K111" s="479"/>
      <c r="L111" s="488"/>
      <c r="M111" s="479">
        <f t="shared" si="15"/>
        <v>0</v>
      </c>
      <c r="N111" s="488"/>
      <c r="O111" s="479">
        <f t="shared" si="11"/>
        <v>0</v>
      </c>
      <c r="P111" s="479">
        <f t="shared" si="12"/>
        <v>0</v>
      </c>
    </row>
    <row r="112" spans="1:16" ht="12.5">
      <c r="B112" s="160" t="str">
        <f t="shared" si="16"/>
        <v/>
      </c>
      <c r="C112" s="473">
        <f>IF(D93="","-",+C111+1)</f>
        <v>2032</v>
      </c>
      <c r="D112" s="347">
        <f>IF(F111+SUM(E$99:E111)=D$92,F111,D$92-SUM(E$99:E111))</f>
        <v>3554350.75</v>
      </c>
      <c r="E112" s="485">
        <f t="shared" si="17"/>
        <v>117642</v>
      </c>
      <c r="F112" s="486">
        <f t="shared" si="18"/>
        <v>3436708.75</v>
      </c>
      <c r="G112" s="486">
        <f t="shared" si="19"/>
        <v>3495529.75</v>
      </c>
      <c r="H112" s="487">
        <f t="shared" si="20"/>
        <v>520666.97000835877</v>
      </c>
      <c r="I112" s="543">
        <f t="shared" si="21"/>
        <v>520666.97000835877</v>
      </c>
      <c r="J112" s="479">
        <f t="shared" si="14"/>
        <v>0</v>
      </c>
      <c r="K112" s="479"/>
      <c r="L112" s="488"/>
      <c r="M112" s="479">
        <f t="shared" si="15"/>
        <v>0</v>
      </c>
      <c r="N112" s="488"/>
      <c r="O112" s="479">
        <f t="shared" si="11"/>
        <v>0</v>
      </c>
      <c r="P112" s="479">
        <f t="shared" si="12"/>
        <v>0</v>
      </c>
    </row>
    <row r="113" spans="2:16" ht="12.5">
      <c r="B113" s="160" t="str">
        <f t="shared" si="16"/>
        <v/>
      </c>
      <c r="C113" s="473">
        <f>IF(D93="","-",+C112+1)</f>
        <v>2033</v>
      </c>
      <c r="D113" s="347">
        <f>IF(F112+SUM(E$99:E112)=D$92,F112,D$92-SUM(E$99:E112))</f>
        <v>3436708.75</v>
      </c>
      <c r="E113" s="485">
        <f t="shared" si="17"/>
        <v>117642</v>
      </c>
      <c r="F113" s="486">
        <f t="shared" si="18"/>
        <v>3319066.75</v>
      </c>
      <c r="G113" s="486">
        <f t="shared" si="19"/>
        <v>3377887.75</v>
      </c>
      <c r="H113" s="487">
        <f t="shared" si="20"/>
        <v>507103.17083836935</v>
      </c>
      <c r="I113" s="543">
        <f t="shared" si="21"/>
        <v>507103.17083836935</v>
      </c>
      <c r="J113" s="479">
        <f t="shared" si="14"/>
        <v>0</v>
      </c>
      <c r="K113" s="479"/>
      <c r="L113" s="488"/>
      <c r="M113" s="479">
        <f t="shared" si="15"/>
        <v>0</v>
      </c>
      <c r="N113" s="488"/>
      <c r="O113" s="479">
        <f t="shared" si="11"/>
        <v>0</v>
      </c>
      <c r="P113" s="479">
        <f t="shared" si="12"/>
        <v>0</v>
      </c>
    </row>
    <row r="114" spans="2:16" ht="12.5">
      <c r="B114" s="160" t="str">
        <f t="shared" si="16"/>
        <v/>
      </c>
      <c r="C114" s="473">
        <f>IF(D93="","-",+C113+1)</f>
        <v>2034</v>
      </c>
      <c r="D114" s="347">
        <f>IF(F113+SUM(E$99:E113)=D$92,F113,D$92-SUM(E$99:E113))</f>
        <v>3319066.75</v>
      </c>
      <c r="E114" s="485">
        <f t="shared" si="17"/>
        <v>117642</v>
      </c>
      <c r="F114" s="486">
        <f t="shared" si="18"/>
        <v>3201424.75</v>
      </c>
      <c r="G114" s="486">
        <f t="shared" si="19"/>
        <v>3260245.75</v>
      </c>
      <c r="H114" s="487">
        <f t="shared" si="20"/>
        <v>493539.37166837993</v>
      </c>
      <c r="I114" s="543">
        <f t="shared" si="21"/>
        <v>493539.37166837993</v>
      </c>
      <c r="J114" s="479">
        <f t="shared" si="14"/>
        <v>0</v>
      </c>
      <c r="K114" s="479"/>
      <c r="L114" s="488"/>
      <c r="M114" s="479">
        <f t="shared" si="15"/>
        <v>0</v>
      </c>
      <c r="N114" s="488"/>
      <c r="O114" s="479">
        <f t="shared" si="11"/>
        <v>0</v>
      </c>
      <c r="P114" s="479">
        <f t="shared" si="12"/>
        <v>0</v>
      </c>
    </row>
    <row r="115" spans="2:16" ht="12.5">
      <c r="B115" s="160" t="str">
        <f t="shared" si="16"/>
        <v/>
      </c>
      <c r="C115" s="473">
        <f>IF(D93="","-",+C114+1)</f>
        <v>2035</v>
      </c>
      <c r="D115" s="347">
        <f>IF(F114+SUM(E$99:E114)=D$92,F114,D$92-SUM(E$99:E114))</f>
        <v>3201424.75</v>
      </c>
      <c r="E115" s="485">
        <f t="shared" si="17"/>
        <v>117642</v>
      </c>
      <c r="F115" s="486">
        <f t="shared" si="18"/>
        <v>3083782.75</v>
      </c>
      <c r="G115" s="486">
        <f t="shared" si="19"/>
        <v>3142603.75</v>
      </c>
      <c r="H115" s="487">
        <f t="shared" si="20"/>
        <v>479975.57249839051</v>
      </c>
      <c r="I115" s="543">
        <f t="shared" si="21"/>
        <v>479975.57249839051</v>
      </c>
      <c r="J115" s="479">
        <f t="shared" si="14"/>
        <v>0</v>
      </c>
      <c r="K115" s="479"/>
      <c r="L115" s="488"/>
      <c r="M115" s="479">
        <f t="shared" si="15"/>
        <v>0</v>
      </c>
      <c r="N115" s="488"/>
      <c r="O115" s="479">
        <f t="shared" si="11"/>
        <v>0</v>
      </c>
      <c r="P115" s="479">
        <f t="shared" si="12"/>
        <v>0</v>
      </c>
    </row>
    <row r="116" spans="2:16" ht="12.5">
      <c r="B116" s="160" t="str">
        <f t="shared" si="16"/>
        <v/>
      </c>
      <c r="C116" s="473">
        <f>IF(D93="","-",+C115+1)</f>
        <v>2036</v>
      </c>
      <c r="D116" s="347">
        <f>IF(F115+SUM(E$99:E115)=D$92,F115,D$92-SUM(E$99:E115))</f>
        <v>3083782.75</v>
      </c>
      <c r="E116" s="485">
        <f t="shared" si="17"/>
        <v>117642</v>
      </c>
      <c r="F116" s="486">
        <f t="shared" si="18"/>
        <v>2966140.75</v>
      </c>
      <c r="G116" s="486">
        <f t="shared" si="19"/>
        <v>3024961.75</v>
      </c>
      <c r="H116" s="487">
        <f t="shared" si="20"/>
        <v>466411.77332840109</v>
      </c>
      <c r="I116" s="543">
        <f t="shared" si="21"/>
        <v>466411.77332840109</v>
      </c>
      <c r="J116" s="479">
        <f t="shared" si="14"/>
        <v>0</v>
      </c>
      <c r="K116" s="479"/>
      <c r="L116" s="488"/>
      <c r="M116" s="479">
        <f t="shared" si="15"/>
        <v>0</v>
      </c>
      <c r="N116" s="488"/>
      <c r="O116" s="479">
        <f t="shared" si="11"/>
        <v>0</v>
      </c>
      <c r="P116" s="479">
        <f t="shared" si="12"/>
        <v>0</v>
      </c>
    </row>
    <row r="117" spans="2:16" ht="12.5">
      <c r="B117" s="160" t="str">
        <f t="shared" si="16"/>
        <v/>
      </c>
      <c r="C117" s="473">
        <f>IF(D93="","-",+C116+1)</f>
        <v>2037</v>
      </c>
      <c r="D117" s="347">
        <f>IF(F116+SUM(E$99:E116)=D$92,F116,D$92-SUM(E$99:E116))</f>
        <v>2966140.75</v>
      </c>
      <c r="E117" s="485">
        <f t="shared" si="17"/>
        <v>117642</v>
      </c>
      <c r="F117" s="486">
        <f t="shared" si="18"/>
        <v>2848498.75</v>
      </c>
      <c r="G117" s="486">
        <f t="shared" si="19"/>
        <v>2907319.75</v>
      </c>
      <c r="H117" s="487">
        <f t="shared" si="20"/>
        <v>452847.97415841167</v>
      </c>
      <c r="I117" s="543">
        <f t="shared" si="21"/>
        <v>452847.97415841167</v>
      </c>
      <c r="J117" s="479">
        <f t="shared" si="14"/>
        <v>0</v>
      </c>
      <c r="K117" s="479"/>
      <c r="L117" s="488"/>
      <c r="M117" s="479">
        <f t="shared" si="15"/>
        <v>0</v>
      </c>
      <c r="N117" s="488"/>
      <c r="O117" s="479">
        <f t="shared" si="11"/>
        <v>0</v>
      </c>
      <c r="P117" s="479">
        <f t="shared" si="12"/>
        <v>0</v>
      </c>
    </row>
    <row r="118" spans="2:16" ht="12.5">
      <c r="B118" s="160" t="str">
        <f t="shared" si="16"/>
        <v/>
      </c>
      <c r="C118" s="473">
        <f>IF(D93="","-",+C117+1)</f>
        <v>2038</v>
      </c>
      <c r="D118" s="347">
        <f>IF(F117+SUM(E$99:E117)=D$92,F117,D$92-SUM(E$99:E117))</f>
        <v>2848498.75</v>
      </c>
      <c r="E118" s="485">
        <f t="shared" si="17"/>
        <v>117642</v>
      </c>
      <c r="F118" s="486">
        <f t="shared" si="18"/>
        <v>2730856.75</v>
      </c>
      <c r="G118" s="486">
        <f t="shared" si="19"/>
        <v>2789677.75</v>
      </c>
      <c r="H118" s="487">
        <f t="shared" si="20"/>
        <v>439284.17498842225</v>
      </c>
      <c r="I118" s="543">
        <f t="shared" si="21"/>
        <v>439284.17498842225</v>
      </c>
      <c r="J118" s="479">
        <f t="shared" si="14"/>
        <v>0</v>
      </c>
      <c r="K118" s="479"/>
      <c r="L118" s="488"/>
      <c r="M118" s="479">
        <f t="shared" si="15"/>
        <v>0</v>
      </c>
      <c r="N118" s="488"/>
      <c r="O118" s="479">
        <f t="shared" si="11"/>
        <v>0</v>
      </c>
      <c r="P118" s="479">
        <f t="shared" si="12"/>
        <v>0</v>
      </c>
    </row>
    <row r="119" spans="2:16" ht="12.5">
      <c r="B119" s="160" t="str">
        <f t="shared" si="16"/>
        <v/>
      </c>
      <c r="C119" s="473">
        <f>IF(D93="","-",+C118+1)</f>
        <v>2039</v>
      </c>
      <c r="D119" s="347">
        <f>IF(F118+SUM(E$99:E118)=D$92,F118,D$92-SUM(E$99:E118))</f>
        <v>2730856.75</v>
      </c>
      <c r="E119" s="485">
        <f t="shared" si="17"/>
        <v>117642</v>
      </c>
      <c r="F119" s="486">
        <f t="shared" si="18"/>
        <v>2613214.75</v>
      </c>
      <c r="G119" s="486">
        <f t="shared" si="19"/>
        <v>2672035.75</v>
      </c>
      <c r="H119" s="487">
        <f t="shared" si="20"/>
        <v>425720.37581843277</v>
      </c>
      <c r="I119" s="543">
        <f t="shared" si="21"/>
        <v>425720.37581843277</v>
      </c>
      <c r="J119" s="479">
        <f t="shared" si="14"/>
        <v>0</v>
      </c>
      <c r="K119" s="479"/>
      <c r="L119" s="488"/>
      <c r="M119" s="479">
        <f t="shared" si="15"/>
        <v>0</v>
      </c>
      <c r="N119" s="488"/>
      <c r="O119" s="479">
        <f t="shared" si="11"/>
        <v>0</v>
      </c>
      <c r="P119" s="479">
        <f t="shared" si="12"/>
        <v>0</v>
      </c>
    </row>
    <row r="120" spans="2:16" ht="12.5">
      <c r="B120" s="160" t="str">
        <f t="shared" si="16"/>
        <v/>
      </c>
      <c r="C120" s="473">
        <f>IF(D93="","-",+C119+1)</f>
        <v>2040</v>
      </c>
      <c r="D120" s="347">
        <f>IF(F119+SUM(E$99:E119)=D$92,F119,D$92-SUM(E$99:E119))</f>
        <v>2613214.75</v>
      </c>
      <c r="E120" s="485">
        <f t="shared" si="17"/>
        <v>117642</v>
      </c>
      <c r="F120" s="486">
        <f t="shared" si="18"/>
        <v>2495572.75</v>
      </c>
      <c r="G120" s="486">
        <f t="shared" si="19"/>
        <v>2554393.75</v>
      </c>
      <c r="H120" s="487">
        <f t="shared" si="20"/>
        <v>412156.57664844336</v>
      </c>
      <c r="I120" s="543">
        <f t="shared" si="21"/>
        <v>412156.57664844336</v>
      </c>
      <c r="J120" s="479">
        <f t="shared" si="14"/>
        <v>0</v>
      </c>
      <c r="K120" s="479"/>
      <c r="L120" s="488"/>
      <c r="M120" s="479">
        <f t="shared" si="15"/>
        <v>0</v>
      </c>
      <c r="N120" s="488"/>
      <c r="O120" s="479">
        <f t="shared" si="11"/>
        <v>0</v>
      </c>
      <c r="P120" s="479">
        <f t="shared" si="12"/>
        <v>0</v>
      </c>
    </row>
    <row r="121" spans="2:16" ht="12.5">
      <c r="B121" s="160" t="str">
        <f t="shared" si="16"/>
        <v/>
      </c>
      <c r="C121" s="473">
        <f>IF(D93="","-",+C120+1)</f>
        <v>2041</v>
      </c>
      <c r="D121" s="347">
        <f>IF(F120+SUM(E$99:E120)=D$92,F120,D$92-SUM(E$99:E120))</f>
        <v>2495572.75</v>
      </c>
      <c r="E121" s="485">
        <f t="shared" si="17"/>
        <v>117642</v>
      </c>
      <c r="F121" s="486">
        <f t="shared" si="18"/>
        <v>2377930.75</v>
      </c>
      <c r="G121" s="486">
        <f t="shared" si="19"/>
        <v>2436751.75</v>
      </c>
      <c r="H121" s="487">
        <f t="shared" si="20"/>
        <v>398592.77747845394</v>
      </c>
      <c r="I121" s="543">
        <f t="shared" si="21"/>
        <v>398592.77747845394</v>
      </c>
      <c r="J121" s="479">
        <f t="shared" si="14"/>
        <v>0</v>
      </c>
      <c r="K121" s="479"/>
      <c r="L121" s="488"/>
      <c r="M121" s="479">
        <f t="shared" si="15"/>
        <v>0</v>
      </c>
      <c r="N121" s="488"/>
      <c r="O121" s="479">
        <f t="shared" si="11"/>
        <v>0</v>
      </c>
      <c r="P121" s="479">
        <f t="shared" si="12"/>
        <v>0</v>
      </c>
    </row>
    <row r="122" spans="2:16" ht="12.5">
      <c r="B122" s="160" t="str">
        <f t="shared" si="16"/>
        <v/>
      </c>
      <c r="C122" s="473">
        <f>IF(D93="","-",+C121+1)</f>
        <v>2042</v>
      </c>
      <c r="D122" s="347">
        <f>IF(F121+SUM(E$99:E121)=D$92,F121,D$92-SUM(E$99:E121))</f>
        <v>2377930.75</v>
      </c>
      <c r="E122" s="485">
        <f t="shared" si="17"/>
        <v>117642</v>
      </c>
      <c r="F122" s="486">
        <f t="shared" si="18"/>
        <v>2260288.75</v>
      </c>
      <c r="G122" s="486">
        <f t="shared" si="19"/>
        <v>2319109.75</v>
      </c>
      <c r="H122" s="487">
        <f t="shared" si="20"/>
        <v>385028.97830846452</v>
      </c>
      <c r="I122" s="543">
        <f t="shared" si="21"/>
        <v>385028.97830846452</v>
      </c>
      <c r="J122" s="479">
        <f t="shared" si="14"/>
        <v>0</v>
      </c>
      <c r="K122" s="479"/>
      <c r="L122" s="488"/>
      <c r="M122" s="479">
        <f t="shared" si="15"/>
        <v>0</v>
      </c>
      <c r="N122" s="488"/>
      <c r="O122" s="479">
        <f t="shared" si="11"/>
        <v>0</v>
      </c>
      <c r="P122" s="479">
        <f t="shared" si="12"/>
        <v>0</v>
      </c>
    </row>
    <row r="123" spans="2:16" ht="12.5">
      <c r="B123" s="160" t="str">
        <f t="shared" si="16"/>
        <v/>
      </c>
      <c r="C123" s="473">
        <f>IF(D93="","-",+C122+1)</f>
        <v>2043</v>
      </c>
      <c r="D123" s="347">
        <f>IF(F122+SUM(E$99:E122)=D$92,F122,D$92-SUM(E$99:E122))</f>
        <v>2260288.75</v>
      </c>
      <c r="E123" s="485">
        <f t="shared" si="17"/>
        <v>117642</v>
      </c>
      <c r="F123" s="486">
        <f t="shared" si="18"/>
        <v>2142646.75</v>
      </c>
      <c r="G123" s="486">
        <f t="shared" si="19"/>
        <v>2201467.75</v>
      </c>
      <c r="H123" s="487">
        <f t="shared" si="20"/>
        <v>371465.1791384751</v>
      </c>
      <c r="I123" s="543">
        <f t="shared" si="21"/>
        <v>371465.1791384751</v>
      </c>
      <c r="J123" s="479">
        <f t="shared" si="14"/>
        <v>0</v>
      </c>
      <c r="K123" s="479"/>
      <c r="L123" s="488"/>
      <c r="M123" s="479">
        <f t="shared" si="15"/>
        <v>0</v>
      </c>
      <c r="N123" s="488"/>
      <c r="O123" s="479">
        <f t="shared" si="11"/>
        <v>0</v>
      </c>
      <c r="P123" s="479">
        <f t="shared" si="12"/>
        <v>0</v>
      </c>
    </row>
    <row r="124" spans="2:16" ht="12.5">
      <c r="B124" s="160" t="str">
        <f t="shared" si="16"/>
        <v/>
      </c>
      <c r="C124" s="473">
        <f>IF(D93="","-",+C123+1)</f>
        <v>2044</v>
      </c>
      <c r="D124" s="347">
        <f>IF(F123+SUM(E$99:E123)=D$92,F123,D$92-SUM(E$99:E123))</f>
        <v>2142646.75</v>
      </c>
      <c r="E124" s="485">
        <f t="shared" si="17"/>
        <v>117642</v>
      </c>
      <c r="F124" s="486">
        <f t="shared" si="18"/>
        <v>2025004.75</v>
      </c>
      <c r="G124" s="486">
        <f t="shared" si="19"/>
        <v>2083825.75</v>
      </c>
      <c r="H124" s="487">
        <f t="shared" si="20"/>
        <v>357901.37996848568</v>
      </c>
      <c r="I124" s="543">
        <f t="shared" si="21"/>
        <v>357901.37996848568</v>
      </c>
      <c r="J124" s="479">
        <f t="shared" si="14"/>
        <v>0</v>
      </c>
      <c r="K124" s="479"/>
      <c r="L124" s="488"/>
      <c r="M124" s="479">
        <f t="shared" si="15"/>
        <v>0</v>
      </c>
      <c r="N124" s="488"/>
      <c r="O124" s="479">
        <f t="shared" si="11"/>
        <v>0</v>
      </c>
      <c r="P124" s="479">
        <f t="shared" si="12"/>
        <v>0</v>
      </c>
    </row>
    <row r="125" spans="2:16" ht="12.5">
      <c r="B125" s="160" t="str">
        <f t="shared" si="16"/>
        <v/>
      </c>
      <c r="C125" s="473">
        <f>IF(D93="","-",+C124+1)</f>
        <v>2045</v>
      </c>
      <c r="D125" s="347">
        <f>IF(F124+SUM(E$99:E124)=D$92,F124,D$92-SUM(E$99:E124))</f>
        <v>2025004.75</v>
      </c>
      <c r="E125" s="485">
        <f t="shared" si="17"/>
        <v>117642</v>
      </c>
      <c r="F125" s="486">
        <f t="shared" si="18"/>
        <v>1907362.75</v>
      </c>
      <c r="G125" s="486">
        <f t="shared" si="19"/>
        <v>1966183.75</v>
      </c>
      <c r="H125" s="487">
        <f t="shared" si="20"/>
        <v>344337.58079849626</v>
      </c>
      <c r="I125" s="543">
        <f t="shared" si="21"/>
        <v>344337.58079849626</v>
      </c>
      <c r="J125" s="479">
        <f t="shared" si="14"/>
        <v>0</v>
      </c>
      <c r="K125" s="479"/>
      <c r="L125" s="488"/>
      <c r="M125" s="479">
        <f t="shared" si="15"/>
        <v>0</v>
      </c>
      <c r="N125" s="488"/>
      <c r="O125" s="479">
        <f t="shared" si="11"/>
        <v>0</v>
      </c>
      <c r="P125" s="479">
        <f t="shared" si="12"/>
        <v>0</v>
      </c>
    </row>
    <row r="126" spans="2:16" ht="12.5">
      <c r="B126" s="160" t="str">
        <f t="shared" si="16"/>
        <v/>
      </c>
      <c r="C126" s="473">
        <f>IF(D93="","-",+C125+1)</f>
        <v>2046</v>
      </c>
      <c r="D126" s="347">
        <f>IF(F125+SUM(E$99:E125)=D$92,F125,D$92-SUM(E$99:E125))</f>
        <v>1907362.75</v>
      </c>
      <c r="E126" s="485">
        <f t="shared" si="17"/>
        <v>117642</v>
      </c>
      <c r="F126" s="486">
        <f t="shared" si="18"/>
        <v>1789720.75</v>
      </c>
      <c r="G126" s="486">
        <f t="shared" si="19"/>
        <v>1848541.75</v>
      </c>
      <c r="H126" s="487">
        <f t="shared" si="20"/>
        <v>330773.78162850684</v>
      </c>
      <c r="I126" s="543">
        <f t="shared" si="21"/>
        <v>330773.78162850684</v>
      </c>
      <c r="J126" s="479">
        <f t="shared" si="14"/>
        <v>0</v>
      </c>
      <c r="K126" s="479"/>
      <c r="L126" s="488"/>
      <c r="M126" s="479">
        <f t="shared" si="15"/>
        <v>0</v>
      </c>
      <c r="N126" s="488"/>
      <c r="O126" s="479">
        <f t="shared" si="11"/>
        <v>0</v>
      </c>
      <c r="P126" s="479">
        <f t="shared" si="12"/>
        <v>0</v>
      </c>
    </row>
    <row r="127" spans="2:16" ht="12.5">
      <c r="B127" s="160" t="str">
        <f t="shared" si="16"/>
        <v/>
      </c>
      <c r="C127" s="473">
        <f>IF(D93="","-",+C126+1)</f>
        <v>2047</v>
      </c>
      <c r="D127" s="347">
        <f>IF(F126+SUM(E$99:E126)=D$92,F126,D$92-SUM(E$99:E126))</f>
        <v>1789720.75</v>
      </c>
      <c r="E127" s="485">
        <f t="shared" si="17"/>
        <v>117642</v>
      </c>
      <c r="F127" s="486">
        <f t="shared" si="18"/>
        <v>1672078.75</v>
      </c>
      <c r="G127" s="486">
        <f t="shared" si="19"/>
        <v>1730899.75</v>
      </c>
      <c r="H127" s="487">
        <f t="shared" si="20"/>
        <v>317209.98245851742</v>
      </c>
      <c r="I127" s="543">
        <f t="shared" si="21"/>
        <v>317209.98245851742</v>
      </c>
      <c r="J127" s="479">
        <f t="shared" si="14"/>
        <v>0</v>
      </c>
      <c r="K127" s="479"/>
      <c r="L127" s="488"/>
      <c r="M127" s="479">
        <f t="shared" si="15"/>
        <v>0</v>
      </c>
      <c r="N127" s="488"/>
      <c r="O127" s="479">
        <f t="shared" si="11"/>
        <v>0</v>
      </c>
      <c r="P127" s="479">
        <f t="shared" si="12"/>
        <v>0</v>
      </c>
    </row>
    <row r="128" spans="2:16" ht="12.5">
      <c r="B128" s="160" t="str">
        <f t="shared" si="16"/>
        <v/>
      </c>
      <c r="C128" s="473">
        <f>IF(D93="","-",+C127+1)</f>
        <v>2048</v>
      </c>
      <c r="D128" s="347">
        <f>IF(F127+SUM(E$99:E127)=D$92,F127,D$92-SUM(E$99:E127))</f>
        <v>1672078.75</v>
      </c>
      <c r="E128" s="485">
        <f t="shared" si="17"/>
        <v>117642</v>
      </c>
      <c r="F128" s="486">
        <f t="shared" si="18"/>
        <v>1554436.75</v>
      </c>
      <c r="G128" s="486">
        <f t="shared" si="19"/>
        <v>1613257.75</v>
      </c>
      <c r="H128" s="487">
        <f t="shared" si="20"/>
        <v>303646.183288528</v>
      </c>
      <c r="I128" s="543">
        <f t="shared" si="21"/>
        <v>303646.183288528</v>
      </c>
      <c r="J128" s="479">
        <f t="shared" si="14"/>
        <v>0</v>
      </c>
      <c r="K128" s="479"/>
      <c r="L128" s="488"/>
      <c r="M128" s="479">
        <f t="shared" si="15"/>
        <v>0</v>
      </c>
      <c r="N128" s="488"/>
      <c r="O128" s="479">
        <f t="shared" si="11"/>
        <v>0</v>
      </c>
      <c r="P128" s="479">
        <f t="shared" si="12"/>
        <v>0</v>
      </c>
    </row>
    <row r="129" spans="2:16" ht="12.5">
      <c r="B129" s="160" t="str">
        <f t="shared" si="16"/>
        <v/>
      </c>
      <c r="C129" s="473">
        <f>IF(D93="","-",+C128+1)</f>
        <v>2049</v>
      </c>
      <c r="D129" s="347">
        <f>IF(F128+SUM(E$99:E128)=D$92,F128,D$92-SUM(E$99:E128))</f>
        <v>1554436.75</v>
      </c>
      <c r="E129" s="485">
        <f t="shared" si="17"/>
        <v>117642</v>
      </c>
      <c r="F129" s="486">
        <f t="shared" si="18"/>
        <v>1436794.75</v>
      </c>
      <c r="G129" s="486">
        <f t="shared" si="19"/>
        <v>1495615.75</v>
      </c>
      <c r="H129" s="487">
        <f t="shared" si="20"/>
        <v>290082.38411853858</v>
      </c>
      <c r="I129" s="543">
        <f t="shared" si="21"/>
        <v>290082.38411853858</v>
      </c>
      <c r="J129" s="479">
        <f t="shared" si="14"/>
        <v>0</v>
      </c>
      <c r="K129" s="479"/>
      <c r="L129" s="488"/>
      <c r="M129" s="479">
        <f t="shared" si="15"/>
        <v>0</v>
      </c>
      <c r="N129" s="488"/>
      <c r="O129" s="479">
        <f t="shared" si="11"/>
        <v>0</v>
      </c>
      <c r="P129" s="479">
        <f t="shared" si="12"/>
        <v>0</v>
      </c>
    </row>
    <row r="130" spans="2:16" ht="12.5">
      <c r="B130" s="160" t="str">
        <f t="shared" si="16"/>
        <v/>
      </c>
      <c r="C130" s="473">
        <f>IF(D93="","-",+C129+1)</f>
        <v>2050</v>
      </c>
      <c r="D130" s="347">
        <f>IF(F129+SUM(E$99:E129)=D$92,F129,D$92-SUM(E$99:E129))</f>
        <v>1436794.75</v>
      </c>
      <c r="E130" s="485">
        <f t="shared" si="17"/>
        <v>117642</v>
      </c>
      <c r="F130" s="486">
        <f t="shared" si="18"/>
        <v>1319152.75</v>
      </c>
      <c r="G130" s="486">
        <f t="shared" si="19"/>
        <v>1377973.75</v>
      </c>
      <c r="H130" s="487">
        <f t="shared" si="20"/>
        <v>276518.58494854916</v>
      </c>
      <c r="I130" s="543">
        <f t="shared" si="21"/>
        <v>276518.58494854916</v>
      </c>
      <c r="J130" s="479">
        <f t="shared" si="14"/>
        <v>0</v>
      </c>
      <c r="K130" s="479"/>
      <c r="L130" s="488"/>
      <c r="M130" s="479">
        <f t="shared" si="15"/>
        <v>0</v>
      </c>
      <c r="N130" s="488"/>
      <c r="O130" s="479">
        <f t="shared" si="11"/>
        <v>0</v>
      </c>
      <c r="P130" s="479">
        <f t="shared" si="12"/>
        <v>0</v>
      </c>
    </row>
    <row r="131" spans="2:16" ht="12.5">
      <c r="B131" s="160" t="str">
        <f t="shared" si="16"/>
        <v/>
      </c>
      <c r="C131" s="473">
        <f>IF(D93="","-",+C130+1)</f>
        <v>2051</v>
      </c>
      <c r="D131" s="347">
        <f>IF(F130+SUM(E$99:E130)=D$92,F130,D$92-SUM(E$99:E130))</f>
        <v>1319152.75</v>
      </c>
      <c r="E131" s="485">
        <f t="shared" si="17"/>
        <v>117642</v>
      </c>
      <c r="F131" s="486">
        <f t="shared" si="18"/>
        <v>1201510.75</v>
      </c>
      <c r="G131" s="486">
        <f t="shared" si="19"/>
        <v>1260331.75</v>
      </c>
      <c r="H131" s="487">
        <f t="shared" si="20"/>
        <v>262954.78577855969</v>
      </c>
      <c r="I131" s="543">
        <f t="shared" si="21"/>
        <v>262954.78577855969</v>
      </c>
      <c r="J131" s="479">
        <f t="shared" ref="J131:J154" si="22">+I541-H541</f>
        <v>0</v>
      </c>
      <c r="K131" s="479"/>
      <c r="L131" s="488"/>
      <c r="M131" s="479">
        <f t="shared" ref="M131:M154" si="23">IF(L541&lt;&gt;0,+H541-L541,0)</f>
        <v>0</v>
      </c>
      <c r="N131" s="488"/>
      <c r="O131" s="479">
        <f t="shared" ref="O131:O154" si="24">IF(N541&lt;&gt;0,+I541-N541,0)</f>
        <v>0</v>
      </c>
      <c r="P131" s="479">
        <f t="shared" ref="P131:P154" si="25">+O541-M541</f>
        <v>0</v>
      </c>
    </row>
    <row r="132" spans="2:16" ht="12.5">
      <c r="B132" s="160" t="str">
        <f t="shared" si="16"/>
        <v/>
      </c>
      <c r="C132" s="473">
        <f>IF(D93="","-",+C131+1)</f>
        <v>2052</v>
      </c>
      <c r="D132" s="347">
        <f>IF(F131+SUM(E$99:E131)=D$92,F131,D$92-SUM(E$99:E131))</f>
        <v>1201510.75</v>
      </c>
      <c r="E132" s="485">
        <f t="shared" si="17"/>
        <v>117642</v>
      </c>
      <c r="F132" s="486">
        <f t="shared" si="18"/>
        <v>1083868.75</v>
      </c>
      <c r="G132" s="486">
        <f t="shared" si="19"/>
        <v>1142689.75</v>
      </c>
      <c r="H132" s="487">
        <f t="shared" si="20"/>
        <v>249390.98660857027</v>
      </c>
      <c r="I132" s="543">
        <f t="shared" si="21"/>
        <v>249390.98660857027</v>
      </c>
      <c r="J132" s="479">
        <f t="shared" si="22"/>
        <v>0</v>
      </c>
      <c r="K132" s="479"/>
      <c r="L132" s="488"/>
      <c r="M132" s="479">
        <f t="shared" si="23"/>
        <v>0</v>
      </c>
      <c r="N132" s="488"/>
      <c r="O132" s="479">
        <f t="shared" si="24"/>
        <v>0</v>
      </c>
      <c r="P132" s="479">
        <f t="shared" si="25"/>
        <v>0</v>
      </c>
    </row>
    <row r="133" spans="2:16" ht="12.5">
      <c r="B133" s="160" t="str">
        <f t="shared" si="16"/>
        <v/>
      </c>
      <c r="C133" s="473">
        <f>IF(D93="","-",+C132+1)</f>
        <v>2053</v>
      </c>
      <c r="D133" s="347">
        <f>IF(F132+SUM(E$99:E132)=D$92,F132,D$92-SUM(E$99:E132))</f>
        <v>1083868.75</v>
      </c>
      <c r="E133" s="485">
        <f t="shared" si="17"/>
        <v>117642</v>
      </c>
      <c r="F133" s="486">
        <f t="shared" si="18"/>
        <v>966226.75</v>
      </c>
      <c r="G133" s="486">
        <f t="shared" si="19"/>
        <v>1025047.75</v>
      </c>
      <c r="H133" s="487">
        <f t="shared" si="20"/>
        <v>235827.18743858085</v>
      </c>
      <c r="I133" s="543">
        <f t="shared" si="21"/>
        <v>235827.18743858085</v>
      </c>
      <c r="J133" s="479">
        <f t="shared" si="22"/>
        <v>0</v>
      </c>
      <c r="K133" s="479"/>
      <c r="L133" s="488"/>
      <c r="M133" s="479">
        <f t="shared" si="23"/>
        <v>0</v>
      </c>
      <c r="N133" s="488"/>
      <c r="O133" s="479">
        <f t="shared" si="24"/>
        <v>0</v>
      </c>
      <c r="P133" s="479">
        <f t="shared" si="25"/>
        <v>0</v>
      </c>
    </row>
    <row r="134" spans="2:16" ht="12.5">
      <c r="B134" s="160" t="str">
        <f t="shared" si="16"/>
        <v/>
      </c>
      <c r="C134" s="473">
        <f>IF(D93="","-",+C133+1)</f>
        <v>2054</v>
      </c>
      <c r="D134" s="347">
        <f>IF(F133+SUM(E$99:E133)=D$92,F133,D$92-SUM(E$99:E133))</f>
        <v>966226.75</v>
      </c>
      <c r="E134" s="485">
        <f t="shared" si="17"/>
        <v>117642</v>
      </c>
      <c r="F134" s="486">
        <f t="shared" si="18"/>
        <v>848584.75</v>
      </c>
      <c r="G134" s="486">
        <f t="shared" si="19"/>
        <v>907405.75</v>
      </c>
      <c r="H134" s="487">
        <f t="shared" si="20"/>
        <v>222263.38826859143</v>
      </c>
      <c r="I134" s="543">
        <f t="shared" si="21"/>
        <v>222263.38826859143</v>
      </c>
      <c r="J134" s="479">
        <f t="shared" si="22"/>
        <v>0</v>
      </c>
      <c r="K134" s="479"/>
      <c r="L134" s="488"/>
      <c r="M134" s="479">
        <f t="shared" si="23"/>
        <v>0</v>
      </c>
      <c r="N134" s="488"/>
      <c r="O134" s="479">
        <f t="shared" si="24"/>
        <v>0</v>
      </c>
      <c r="P134" s="479">
        <f t="shared" si="25"/>
        <v>0</v>
      </c>
    </row>
    <row r="135" spans="2:16" ht="12.5">
      <c r="B135" s="160" t="str">
        <f t="shared" si="16"/>
        <v/>
      </c>
      <c r="C135" s="473">
        <f>IF(D93="","-",+C134+1)</f>
        <v>2055</v>
      </c>
      <c r="D135" s="347">
        <f>IF(F134+SUM(E$99:E134)=D$92,F134,D$92-SUM(E$99:E134))</f>
        <v>848584.75</v>
      </c>
      <c r="E135" s="485">
        <f t="shared" si="17"/>
        <v>117642</v>
      </c>
      <c r="F135" s="486">
        <f t="shared" si="18"/>
        <v>730942.75</v>
      </c>
      <c r="G135" s="486">
        <f t="shared" si="19"/>
        <v>789763.75</v>
      </c>
      <c r="H135" s="487">
        <f t="shared" si="20"/>
        <v>208699.58909860201</v>
      </c>
      <c r="I135" s="543">
        <f t="shared" si="21"/>
        <v>208699.58909860201</v>
      </c>
      <c r="J135" s="479">
        <f t="shared" si="22"/>
        <v>0</v>
      </c>
      <c r="K135" s="479"/>
      <c r="L135" s="488"/>
      <c r="M135" s="479">
        <f t="shared" si="23"/>
        <v>0</v>
      </c>
      <c r="N135" s="488"/>
      <c r="O135" s="479">
        <f t="shared" si="24"/>
        <v>0</v>
      </c>
      <c r="P135" s="479">
        <f t="shared" si="25"/>
        <v>0</v>
      </c>
    </row>
    <row r="136" spans="2:16" ht="12.5">
      <c r="B136" s="160" t="str">
        <f t="shared" si="16"/>
        <v/>
      </c>
      <c r="C136" s="473">
        <f>IF(D93="","-",+C135+1)</f>
        <v>2056</v>
      </c>
      <c r="D136" s="347">
        <f>IF(F135+SUM(E$99:E135)=D$92,F135,D$92-SUM(E$99:E135))</f>
        <v>730942.75</v>
      </c>
      <c r="E136" s="485">
        <f t="shared" si="17"/>
        <v>117642</v>
      </c>
      <c r="F136" s="486">
        <f t="shared" si="18"/>
        <v>613300.75</v>
      </c>
      <c r="G136" s="486">
        <f t="shared" si="19"/>
        <v>672121.75</v>
      </c>
      <c r="H136" s="487">
        <f t="shared" si="20"/>
        <v>195135.78992861259</v>
      </c>
      <c r="I136" s="543">
        <f t="shared" si="21"/>
        <v>195135.78992861259</v>
      </c>
      <c r="J136" s="479">
        <f t="shared" si="22"/>
        <v>0</v>
      </c>
      <c r="K136" s="479"/>
      <c r="L136" s="488"/>
      <c r="M136" s="479">
        <f t="shared" si="23"/>
        <v>0</v>
      </c>
      <c r="N136" s="488"/>
      <c r="O136" s="479">
        <f t="shared" si="24"/>
        <v>0</v>
      </c>
      <c r="P136" s="479">
        <f t="shared" si="25"/>
        <v>0</v>
      </c>
    </row>
    <row r="137" spans="2:16" ht="12.5">
      <c r="B137" s="160" t="str">
        <f t="shared" si="16"/>
        <v/>
      </c>
      <c r="C137" s="473">
        <f>IF(D93="","-",+C136+1)</f>
        <v>2057</v>
      </c>
      <c r="D137" s="347">
        <f>IF(F136+SUM(E$99:E136)=D$92,F136,D$92-SUM(E$99:E136))</f>
        <v>613300.75</v>
      </c>
      <c r="E137" s="485">
        <f t="shared" si="17"/>
        <v>117642</v>
      </c>
      <c r="F137" s="486">
        <f t="shared" si="18"/>
        <v>495658.75</v>
      </c>
      <c r="G137" s="486">
        <f t="shared" si="19"/>
        <v>554479.75</v>
      </c>
      <c r="H137" s="487">
        <f t="shared" si="20"/>
        <v>181571.99075862314</v>
      </c>
      <c r="I137" s="543">
        <f t="shared" si="21"/>
        <v>181571.99075862314</v>
      </c>
      <c r="J137" s="479">
        <f t="shared" si="22"/>
        <v>0</v>
      </c>
      <c r="K137" s="479"/>
      <c r="L137" s="488"/>
      <c r="M137" s="479">
        <f t="shared" si="23"/>
        <v>0</v>
      </c>
      <c r="N137" s="488"/>
      <c r="O137" s="479">
        <f t="shared" si="24"/>
        <v>0</v>
      </c>
      <c r="P137" s="479">
        <f t="shared" si="25"/>
        <v>0</v>
      </c>
    </row>
    <row r="138" spans="2:16" ht="12.5">
      <c r="B138" s="160" t="str">
        <f t="shared" si="16"/>
        <v/>
      </c>
      <c r="C138" s="473">
        <f>IF(D93="","-",+C137+1)</f>
        <v>2058</v>
      </c>
      <c r="D138" s="347">
        <f>IF(F137+SUM(E$99:E137)=D$92,F137,D$92-SUM(E$99:E137))</f>
        <v>495658.75</v>
      </c>
      <c r="E138" s="485">
        <f t="shared" si="17"/>
        <v>117642</v>
      </c>
      <c r="F138" s="486">
        <f t="shared" si="18"/>
        <v>378016.75</v>
      </c>
      <c r="G138" s="486">
        <f t="shared" si="19"/>
        <v>436837.75</v>
      </c>
      <c r="H138" s="487">
        <f t="shared" si="20"/>
        <v>168008.19158863372</v>
      </c>
      <c r="I138" s="543">
        <f t="shared" si="21"/>
        <v>168008.19158863372</v>
      </c>
      <c r="J138" s="479">
        <f t="shared" si="22"/>
        <v>0</v>
      </c>
      <c r="K138" s="479"/>
      <c r="L138" s="488"/>
      <c r="M138" s="479">
        <f t="shared" si="23"/>
        <v>0</v>
      </c>
      <c r="N138" s="488"/>
      <c r="O138" s="479">
        <f t="shared" si="24"/>
        <v>0</v>
      </c>
      <c r="P138" s="479">
        <f t="shared" si="25"/>
        <v>0</v>
      </c>
    </row>
    <row r="139" spans="2:16" ht="12.5">
      <c r="B139" s="160" t="str">
        <f t="shared" si="16"/>
        <v/>
      </c>
      <c r="C139" s="473">
        <f>IF(D93="","-",+C138+1)</f>
        <v>2059</v>
      </c>
      <c r="D139" s="347">
        <f>IF(F138+SUM(E$99:E138)=D$92,F138,D$92-SUM(E$99:E138))</f>
        <v>378016.75</v>
      </c>
      <c r="E139" s="485">
        <f t="shared" si="17"/>
        <v>117642</v>
      </c>
      <c r="F139" s="486">
        <f t="shared" si="18"/>
        <v>260374.75</v>
      </c>
      <c r="G139" s="486">
        <f t="shared" si="19"/>
        <v>319195.75</v>
      </c>
      <c r="H139" s="487">
        <f t="shared" si="20"/>
        <v>154444.3924186443</v>
      </c>
      <c r="I139" s="543">
        <f t="shared" si="21"/>
        <v>154444.3924186443</v>
      </c>
      <c r="J139" s="479">
        <f t="shared" si="22"/>
        <v>0</v>
      </c>
      <c r="K139" s="479"/>
      <c r="L139" s="488"/>
      <c r="M139" s="479">
        <f t="shared" si="23"/>
        <v>0</v>
      </c>
      <c r="N139" s="488"/>
      <c r="O139" s="479">
        <f t="shared" si="24"/>
        <v>0</v>
      </c>
      <c r="P139" s="479">
        <f t="shared" si="25"/>
        <v>0</v>
      </c>
    </row>
    <row r="140" spans="2:16" ht="12.5">
      <c r="B140" s="160" t="str">
        <f t="shared" si="16"/>
        <v/>
      </c>
      <c r="C140" s="473">
        <f>IF(D93="","-",+C139+1)</f>
        <v>2060</v>
      </c>
      <c r="D140" s="347">
        <f>IF(F139+SUM(E$99:E139)=D$92,F139,D$92-SUM(E$99:E139))</f>
        <v>260374.75</v>
      </c>
      <c r="E140" s="485">
        <f t="shared" si="17"/>
        <v>117642</v>
      </c>
      <c r="F140" s="486">
        <f t="shared" si="18"/>
        <v>142732.75</v>
      </c>
      <c r="G140" s="486">
        <f t="shared" si="19"/>
        <v>201553.75</v>
      </c>
      <c r="H140" s="487">
        <f t="shared" si="20"/>
        <v>140880.59324865486</v>
      </c>
      <c r="I140" s="543">
        <f t="shared" si="21"/>
        <v>140880.59324865486</v>
      </c>
      <c r="J140" s="479">
        <f t="shared" si="22"/>
        <v>0</v>
      </c>
      <c r="K140" s="479"/>
      <c r="L140" s="488"/>
      <c r="M140" s="479">
        <f t="shared" si="23"/>
        <v>0</v>
      </c>
      <c r="N140" s="488"/>
      <c r="O140" s="479">
        <f t="shared" si="24"/>
        <v>0</v>
      </c>
      <c r="P140" s="479">
        <f t="shared" si="25"/>
        <v>0</v>
      </c>
    </row>
    <row r="141" spans="2:16" ht="12.5">
      <c r="B141" s="160" t="str">
        <f t="shared" si="16"/>
        <v/>
      </c>
      <c r="C141" s="473">
        <f>IF(D93="","-",+C140+1)</f>
        <v>2061</v>
      </c>
      <c r="D141" s="347">
        <f>IF(F140+SUM(E$99:E140)=D$92,F140,D$92-SUM(E$99:E140))</f>
        <v>142732.75</v>
      </c>
      <c r="E141" s="485">
        <f t="shared" si="17"/>
        <v>117642</v>
      </c>
      <c r="F141" s="486">
        <f t="shared" si="18"/>
        <v>25090.75</v>
      </c>
      <c r="G141" s="486">
        <f t="shared" si="19"/>
        <v>83911.75</v>
      </c>
      <c r="H141" s="487">
        <f t="shared" si="20"/>
        <v>127316.79407866544</v>
      </c>
      <c r="I141" s="543">
        <f t="shared" si="21"/>
        <v>127316.79407866544</v>
      </c>
      <c r="J141" s="479">
        <f t="shared" si="22"/>
        <v>0</v>
      </c>
      <c r="K141" s="479"/>
      <c r="L141" s="488"/>
      <c r="M141" s="479">
        <f t="shared" si="23"/>
        <v>0</v>
      </c>
      <c r="N141" s="488"/>
      <c r="O141" s="479">
        <f t="shared" si="24"/>
        <v>0</v>
      </c>
      <c r="P141" s="479">
        <f t="shared" si="25"/>
        <v>0</v>
      </c>
    </row>
    <row r="142" spans="2:16" ht="12.5">
      <c r="B142" s="160" t="str">
        <f t="shared" si="16"/>
        <v/>
      </c>
      <c r="C142" s="473">
        <f>IF(D93="","-",+C141+1)</f>
        <v>2062</v>
      </c>
      <c r="D142" s="347">
        <f>IF(F141+SUM(E$99:E141)=D$92,F141,D$92-SUM(E$99:E141))</f>
        <v>25090.75</v>
      </c>
      <c r="E142" s="485">
        <f t="shared" si="17"/>
        <v>25090.75</v>
      </c>
      <c r="F142" s="486">
        <f t="shared" si="18"/>
        <v>0</v>
      </c>
      <c r="G142" s="486">
        <f t="shared" si="19"/>
        <v>12545.375</v>
      </c>
      <c r="H142" s="487">
        <f t="shared" si="20"/>
        <v>26537.197246835367</v>
      </c>
      <c r="I142" s="543">
        <f t="shared" si="21"/>
        <v>26537.197246835367</v>
      </c>
      <c r="J142" s="479">
        <f t="shared" si="22"/>
        <v>0</v>
      </c>
      <c r="K142" s="479"/>
      <c r="L142" s="488"/>
      <c r="M142" s="479">
        <f t="shared" si="23"/>
        <v>0</v>
      </c>
      <c r="N142" s="488"/>
      <c r="O142" s="479">
        <f t="shared" si="24"/>
        <v>0</v>
      </c>
      <c r="P142" s="479">
        <f t="shared" si="25"/>
        <v>0</v>
      </c>
    </row>
    <row r="143" spans="2:16" ht="12.5">
      <c r="B143" s="160" t="str">
        <f t="shared" si="16"/>
        <v/>
      </c>
      <c r="C143" s="473">
        <f>IF(D93="","-",+C142+1)</f>
        <v>2063</v>
      </c>
      <c r="D143" s="347">
        <f>IF(F142+SUM(E$99:E142)=D$92,F142,D$92-SUM(E$99:E142))</f>
        <v>0</v>
      </c>
      <c r="E143" s="485">
        <f t="shared" si="17"/>
        <v>0</v>
      </c>
      <c r="F143" s="486">
        <f t="shared" si="18"/>
        <v>0</v>
      </c>
      <c r="G143" s="486">
        <f t="shared" si="19"/>
        <v>0</v>
      </c>
      <c r="H143" s="487">
        <f t="shared" si="20"/>
        <v>0</v>
      </c>
      <c r="I143" s="543">
        <f t="shared" si="21"/>
        <v>0</v>
      </c>
      <c r="J143" s="479">
        <f t="shared" si="22"/>
        <v>0</v>
      </c>
      <c r="K143" s="479"/>
      <c r="L143" s="488"/>
      <c r="M143" s="479">
        <f t="shared" si="23"/>
        <v>0</v>
      </c>
      <c r="N143" s="488"/>
      <c r="O143" s="479">
        <f t="shared" si="24"/>
        <v>0</v>
      </c>
      <c r="P143" s="479">
        <f t="shared" si="25"/>
        <v>0</v>
      </c>
    </row>
    <row r="144" spans="2:16" ht="12.5">
      <c r="B144" s="160" t="str">
        <f t="shared" si="16"/>
        <v/>
      </c>
      <c r="C144" s="473">
        <f>IF(D93="","-",+C143+1)</f>
        <v>2064</v>
      </c>
      <c r="D144" s="347">
        <f>IF(F143+SUM(E$99:E143)=D$92,F143,D$92-SUM(E$99:E143))</f>
        <v>0</v>
      </c>
      <c r="E144" s="485">
        <f t="shared" si="17"/>
        <v>0</v>
      </c>
      <c r="F144" s="486">
        <f t="shared" si="18"/>
        <v>0</v>
      </c>
      <c r="G144" s="486">
        <f t="shared" si="19"/>
        <v>0</v>
      </c>
      <c r="H144" s="487">
        <f t="shared" si="20"/>
        <v>0</v>
      </c>
      <c r="I144" s="543">
        <f t="shared" si="21"/>
        <v>0</v>
      </c>
      <c r="J144" s="479">
        <f t="shared" si="22"/>
        <v>0</v>
      </c>
      <c r="K144" s="479"/>
      <c r="L144" s="488"/>
      <c r="M144" s="479">
        <f t="shared" si="23"/>
        <v>0</v>
      </c>
      <c r="N144" s="488"/>
      <c r="O144" s="479">
        <f t="shared" si="24"/>
        <v>0</v>
      </c>
      <c r="P144" s="479">
        <f t="shared" si="25"/>
        <v>0</v>
      </c>
    </row>
    <row r="145" spans="2:16" ht="12.5">
      <c r="B145" s="160" t="str">
        <f t="shared" si="16"/>
        <v/>
      </c>
      <c r="C145" s="473">
        <f>IF(D93="","-",+C144+1)</f>
        <v>2065</v>
      </c>
      <c r="D145" s="347">
        <f>IF(F144+SUM(E$99:E144)=D$92,F144,D$92-SUM(E$99:E144))</f>
        <v>0</v>
      </c>
      <c r="E145" s="485">
        <f t="shared" si="17"/>
        <v>0</v>
      </c>
      <c r="F145" s="486">
        <f t="shared" si="18"/>
        <v>0</v>
      </c>
      <c r="G145" s="486">
        <f t="shared" si="19"/>
        <v>0</v>
      </c>
      <c r="H145" s="487">
        <f t="shared" si="20"/>
        <v>0</v>
      </c>
      <c r="I145" s="543">
        <f t="shared" si="21"/>
        <v>0</v>
      </c>
      <c r="J145" s="479">
        <f t="shared" si="22"/>
        <v>0</v>
      </c>
      <c r="K145" s="479"/>
      <c r="L145" s="488"/>
      <c r="M145" s="479">
        <f t="shared" si="23"/>
        <v>0</v>
      </c>
      <c r="N145" s="488"/>
      <c r="O145" s="479">
        <f t="shared" si="24"/>
        <v>0</v>
      </c>
      <c r="P145" s="479">
        <f t="shared" si="25"/>
        <v>0</v>
      </c>
    </row>
    <row r="146" spans="2:16" ht="12.5">
      <c r="B146" s="160" t="str">
        <f t="shared" si="16"/>
        <v/>
      </c>
      <c r="C146" s="473">
        <f>IF(D93="","-",+C145+1)</f>
        <v>2066</v>
      </c>
      <c r="D146" s="347">
        <f>IF(F145+SUM(E$99:E145)=D$92,F145,D$92-SUM(E$99:E145))</f>
        <v>0</v>
      </c>
      <c r="E146" s="485">
        <f t="shared" si="17"/>
        <v>0</v>
      </c>
      <c r="F146" s="486">
        <f t="shared" si="18"/>
        <v>0</v>
      </c>
      <c r="G146" s="486">
        <f t="shared" si="19"/>
        <v>0</v>
      </c>
      <c r="H146" s="487">
        <f t="shared" si="20"/>
        <v>0</v>
      </c>
      <c r="I146" s="543">
        <f t="shared" si="21"/>
        <v>0</v>
      </c>
      <c r="J146" s="479">
        <f t="shared" si="22"/>
        <v>0</v>
      </c>
      <c r="K146" s="479"/>
      <c r="L146" s="488"/>
      <c r="M146" s="479">
        <f t="shared" si="23"/>
        <v>0</v>
      </c>
      <c r="N146" s="488"/>
      <c r="O146" s="479">
        <f t="shared" si="24"/>
        <v>0</v>
      </c>
      <c r="P146" s="479">
        <f t="shared" si="25"/>
        <v>0</v>
      </c>
    </row>
    <row r="147" spans="2:16" ht="12.5">
      <c r="B147" s="160" t="str">
        <f t="shared" si="16"/>
        <v/>
      </c>
      <c r="C147" s="473">
        <f>IF(D93="","-",+C146+1)</f>
        <v>2067</v>
      </c>
      <c r="D147" s="347">
        <f>IF(F146+SUM(E$99:E146)=D$92,F146,D$92-SUM(E$99:E146))</f>
        <v>0</v>
      </c>
      <c r="E147" s="485">
        <f t="shared" si="17"/>
        <v>0</v>
      </c>
      <c r="F147" s="486">
        <f t="shared" si="18"/>
        <v>0</v>
      </c>
      <c r="G147" s="486">
        <f t="shared" si="19"/>
        <v>0</v>
      </c>
      <c r="H147" s="487">
        <f t="shared" si="20"/>
        <v>0</v>
      </c>
      <c r="I147" s="543">
        <f t="shared" si="21"/>
        <v>0</v>
      </c>
      <c r="J147" s="479">
        <f t="shared" si="22"/>
        <v>0</v>
      </c>
      <c r="K147" s="479"/>
      <c r="L147" s="488"/>
      <c r="M147" s="479">
        <f t="shared" si="23"/>
        <v>0</v>
      </c>
      <c r="N147" s="488"/>
      <c r="O147" s="479">
        <f t="shared" si="24"/>
        <v>0</v>
      </c>
      <c r="P147" s="479">
        <f t="shared" si="25"/>
        <v>0</v>
      </c>
    </row>
    <row r="148" spans="2:16" ht="12.5">
      <c r="B148" s="160" t="str">
        <f t="shared" si="16"/>
        <v/>
      </c>
      <c r="C148" s="473">
        <f>IF(D93="","-",+C147+1)</f>
        <v>2068</v>
      </c>
      <c r="D148" s="347">
        <f>IF(F147+SUM(E$99:E147)=D$92,F147,D$92-SUM(E$99:E147))</f>
        <v>0</v>
      </c>
      <c r="E148" s="485">
        <f t="shared" si="17"/>
        <v>0</v>
      </c>
      <c r="F148" s="486">
        <f t="shared" si="18"/>
        <v>0</v>
      </c>
      <c r="G148" s="486">
        <f t="shared" si="19"/>
        <v>0</v>
      </c>
      <c r="H148" s="487">
        <f t="shared" si="20"/>
        <v>0</v>
      </c>
      <c r="I148" s="543">
        <f t="shared" si="21"/>
        <v>0</v>
      </c>
      <c r="J148" s="479">
        <f t="shared" si="22"/>
        <v>0</v>
      </c>
      <c r="K148" s="479"/>
      <c r="L148" s="488"/>
      <c r="M148" s="479">
        <f t="shared" si="23"/>
        <v>0</v>
      </c>
      <c r="N148" s="488"/>
      <c r="O148" s="479">
        <f t="shared" si="24"/>
        <v>0</v>
      </c>
      <c r="P148" s="479">
        <f t="shared" si="25"/>
        <v>0</v>
      </c>
    </row>
    <row r="149" spans="2:16" ht="12.5">
      <c r="B149" s="160" t="str">
        <f t="shared" si="16"/>
        <v/>
      </c>
      <c r="C149" s="473">
        <f>IF(D93="","-",+C148+1)</f>
        <v>2069</v>
      </c>
      <c r="D149" s="347">
        <f>IF(F148+SUM(E$99:E148)=D$92,F148,D$92-SUM(E$99:E148))</f>
        <v>0</v>
      </c>
      <c r="E149" s="485">
        <f t="shared" si="17"/>
        <v>0</v>
      </c>
      <c r="F149" s="486">
        <f t="shared" si="18"/>
        <v>0</v>
      </c>
      <c r="G149" s="486">
        <f t="shared" si="19"/>
        <v>0</v>
      </c>
      <c r="H149" s="487">
        <f t="shared" si="20"/>
        <v>0</v>
      </c>
      <c r="I149" s="543">
        <f t="shared" si="21"/>
        <v>0</v>
      </c>
      <c r="J149" s="479">
        <f t="shared" si="22"/>
        <v>0</v>
      </c>
      <c r="K149" s="479"/>
      <c r="L149" s="488"/>
      <c r="M149" s="479">
        <f t="shared" si="23"/>
        <v>0</v>
      </c>
      <c r="N149" s="488"/>
      <c r="O149" s="479">
        <f t="shared" si="24"/>
        <v>0</v>
      </c>
      <c r="P149" s="479">
        <f t="shared" si="25"/>
        <v>0</v>
      </c>
    </row>
    <row r="150" spans="2:16" ht="12.5">
      <c r="B150" s="160" t="str">
        <f t="shared" si="16"/>
        <v/>
      </c>
      <c r="C150" s="473">
        <f>IF(D93="","-",+C149+1)</f>
        <v>2070</v>
      </c>
      <c r="D150" s="347">
        <f>IF(F149+SUM(E$99:E149)=D$92,F149,D$92-SUM(E$99:E149))</f>
        <v>0</v>
      </c>
      <c r="E150" s="485">
        <f t="shared" si="17"/>
        <v>0</v>
      </c>
      <c r="F150" s="486">
        <f t="shared" si="18"/>
        <v>0</v>
      </c>
      <c r="G150" s="486">
        <f t="shared" si="19"/>
        <v>0</v>
      </c>
      <c r="H150" s="487">
        <f t="shared" si="20"/>
        <v>0</v>
      </c>
      <c r="I150" s="543">
        <f t="shared" si="21"/>
        <v>0</v>
      </c>
      <c r="J150" s="479">
        <f t="shared" si="22"/>
        <v>0</v>
      </c>
      <c r="K150" s="479"/>
      <c r="L150" s="488"/>
      <c r="M150" s="479">
        <f t="shared" si="23"/>
        <v>0</v>
      </c>
      <c r="N150" s="488"/>
      <c r="O150" s="479">
        <f t="shared" si="24"/>
        <v>0</v>
      </c>
      <c r="P150" s="479">
        <f t="shared" si="25"/>
        <v>0</v>
      </c>
    </row>
    <row r="151" spans="2:16" ht="12.5">
      <c r="B151" s="160" t="str">
        <f t="shared" si="16"/>
        <v/>
      </c>
      <c r="C151" s="473">
        <f>IF(D93="","-",+C150+1)</f>
        <v>2071</v>
      </c>
      <c r="D151" s="347">
        <f>IF(F150+SUM(E$99:E150)=D$92,F150,D$92-SUM(E$99:E150))</f>
        <v>0</v>
      </c>
      <c r="E151" s="485">
        <f t="shared" si="17"/>
        <v>0</v>
      </c>
      <c r="F151" s="486">
        <f t="shared" si="18"/>
        <v>0</v>
      </c>
      <c r="G151" s="486">
        <f t="shared" si="19"/>
        <v>0</v>
      </c>
      <c r="H151" s="487">
        <f t="shared" si="20"/>
        <v>0</v>
      </c>
      <c r="I151" s="543">
        <f t="shared" si="21"/>
        <v>0</v>
      </c>
      <c r="J151" s="479">
        <f t="shared" si="22"/>
        <v>0</v>
      </c>
      <c r="K151" s="479"/>
      <c r="L151" s="488"/>
      <c r="M151" s="479">
        <f t="shared" si="23"/>
        <v>0</v>
      </c>
      <c r="N151" s="488"/>
      <c r="O151" s="479">
        <f t="shared" si="24"/>
        <v>0</v>
      </c>
      <c r="P151" s="479">
        <f t="shared" si="25"/>
        <v>0</v>
      </c>
    </row>
    <row r="152" spans="2:16" ht="12.5">
      <c r="B152" s="160" t="str">
        <f t="shared" si="16"/>
        <v/>
      </c>
      <c r="C152" s="473">
        <f>IF(D93="","-",+C151+1)</f>
        <v>2072</v>
      </c>
      <c r="D152" s="347">
        <f>IF(F151+SUM(E$99:E151)=D$92,F151,D$92-SUM(E$99:E151))</f>
        <v>0</v>
      </c>
      <c r="E152" s="485">
        <f t="shared" si="17"/>
        <v>0</v>
      </c>
      <c r="F152" s="486">
        <f t="shared" si="18"/>
        <v>0</v>
      </c>
      <c r="G152" s="486">
        <f t="shared" si="19"/>
        <v>0</v>
      </c>
      <c r="H152" s="487">
        <f t="shared" si="20"/>
        <v>0</v>
      </c>
      <c r="I152" s="543">
        <f t="shared" si="21"/>
        <v>0</v>
      </c>
      <c r="J152" s="479">
        <f t="shared" si="22"/>
        <v>0</v>
      </c>
      <c r="K152" s="479"/>
      <c r="L152" s="488"/>
      <c r="M152" s="479">
        <f t="shared" si="23"/>
        <v>0</v>
      </c>
      <c r="N152" s="488"/>
      <c r="O152" s="479">
        <f t="shared" si="24"/>
        <v>0</v>
      </c>
      <c r="P152" s="479">
        <f t="shared" si="25"/>
        <v>0</v>
      </c>
    </row>
    <row r="153" spans="2:16" ht="12.5">
      <c r="B153" s="160" t="str">
        <f t="shared" si="16"/>
        <v/>
      </c>
      <c r="C153" s="473">
        <f>IF(D93="","-",+C152+1)</f>
        <v>2073</v>
      </c>
      <c r="D153" s="347">
        <f>IF(F152+SUM(E$99:E152)=D$92,F152,D$92-SUM(E$99:E152))</f>
        <v>0</v>
      </c>
      <c r="E153" s="485">
        <f t="shared" si="17"/>
        <v>0</v>
      </c>
      <c r="F153" s="486">
        <f t="shared" si="18"/>
        <v>0</v>
      </c>
      <c r="G153" s="486">
        <f t="shared" si="19"/>
        <v>0</v>
      </c>
      <c r="H153" s="487">
        <f t="shared" si="20"/>
        <v>0</v>
      </c>
      <c r="I153" s="543">
        <f t="shared" si="21"/>
        <v>0</v>
      </c>
      <c r="J153" s="479">
        <f t="shared" si="22"/>
        <v>0</v>
      </c>
      <c r="K153" s="479"/>
      <c r="L153" s="488"/>
      <c r="M153" s="479">
        <f t="shared" si="23"/>
        <v>0</v>
      </c>
      <c r="N153" s="488"/>
      <c r="O153" s="479">
        <f t="shared" si="24"/>
        <v>0</v>
      </c>
      <c r="P153" s="479">
        <f t="shared" si="25"/>
        <v>0</v>
      </c>
    </row>
    <row r="154" spans="2:16" ht="13" thickBot="1">
      <c r="B154" s="160" t="str">
        <f t="shared" si="16"/>
        <v/>
      </c>
      <c r="C154" s="490">
        <f>IF(D93="","-",+C153+1)</f>
        <v>2074</v>
      </c>
      <c r="D154" s="544">
        <f>IF(F153+SUM(E$99:E153)=D$92,F153,D$92-SUM(E$99:E153))</f>
        <v>0</v>
      </c>
      <c r="E154" s="492">
        <f t="shared" si="17"/>
        <v>0</v>
      </c>
      <c r="F154" s="491">
        <f t="shared" si="18"/>
        <v>0</v>
      </c>
      <c r="G154" s="491">
        <f t="shared" si="19"/>
        <v>0</v>
      </c>
      <c r="H154" s="614">
        <f t="shared" ref="H154" si="26">+J$94*G154+E154</f>
        <v>0</v>
      </c>
      <c r="I154" s="615">
        <f t="shared" ref="I154" si="27">+J$95*G154+E154</f>
        <v>0</v>
      </c>
      <c r="J154" s="496">
        <f t="shared" si="22"/>
        <v>0</v>
      </c>
      <c r="K154" s="479"/>
      <c r="L154" s="495"/>
      <c r="M154" s="496">
        <f t="shared" si="23"/>
        <v>0</v>
      </c>
      <c r="N154" s="495"/>
      <c r="O154" s="496">
        <f t="shared" si="24"/>
        <v>0</v>
      </c>
      <c r="P154" s="496">
        <f t="shared" si="25"/>
        <v>0</v>
      </c>
    </row>
    <row r="155" spans="2:16" ht="12.5">
      <c r="C155" s="347" t="s">
        <v>77</v>
      </c>
      <c r="D155" s="348"/>
      <c r="E155" s="348">
        <f>SUM(E99:E154)</f>
        <v>5058589</v>
      </c>
      <c r="F155" s="348"/>
      <c r="G155" s="348"/>
      <c r="H155" s="348">
        <f>SUM(H99:H154)</f>
        <v>17400839.379096474</v>
      </c>
      <c r="I155" s="348">
        <f>SUM(I99:I154)</f>
        <v>17400839.379096474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topLeftCell="A67" zoomScale="86" zoomScaleNormal="86" workbookViewId="0">
      <selection activeCell="J92" sqref="J92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"&amp;RIGHT(MID(CELL("filename",$A$1),FIND("]",CELL("filename",$A$1))+1,256),2)&amp;" of "&amp;COUNT('P.001:P.xyz - blank'!$P$3)-1</f>
        <v>PSO Project 28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109448.17204091245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109448.17204091245</v>
      </c>
      <c r="O6" s="233"/>
      <c r="P6" s="233"/>
    </row>
    <row r="7" spans="1:16" ht="13.5" thickBot="1">
      <c r="C7" s="432" t="s">
        <v>46</v>
      </c>
      <c r="D7" s="622" t="s">
        <v>346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C9" s="441" t="s">
        <v>48</v>
      </c>
      <c r="D9" s="442"/>
      <c r="E9" s="623" t="s">
        <v>347</v>
      </c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2345960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2020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54557.20930232558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2020</v>
      </c>
      <c r="D17" s="624">
        <v>0</v>
      </c>
      <c r="E17" s="625">
        <v>19964.285714285714</v>
      </c>
      <c r="F17" s="626">
        <v>1657035.7142857143</v>
      </c>
      <c r="G17" s="625">
        <v>109448.17204091245</v>
      </c>
      <c r="H17" s="627">
        <v>109448.17204091245</v>
      </c>
      <c r="I17" s="476">
        <f>H17-G17</f>
        <v>0</v>
      </c>
      <c r="J17" s="476"/>
      <c r="K17" s="555">
        <f>+G17</f>
        <v>109448.17204091245</v>
      </c>
      <c r="L17" s="478">
        <f t="shared" ref="L17" si="0">IF(K17&lt;&gt;0,+G17-K17,0)</f>
        <v>0</v>
      </c>
      <c r="M17" s="555">
        <f>+H17</f>
        <v>109448.17204091245</v>
      </c>
      <c r="N17" s="478">
        <f t="shared" ref="N17:N72" si="1">IF(M17&lt;&gt;0,+H17-M17,0)</f>
        <v>0</v>
      </c>
      <c r="O17" s="479">
        <f t="shared" ref="O17:O72" si="2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2021</v>
      </c>
      <c r="D18" s="484">
        <f>IF(F17+SUM(E$17:E17)=D$10,F17,D$10-SUM(E$17:E17))</f>
        <v>2325995.7142857141</v>
      </c>
      <c r="E18" s="485">
        <f>IF(+I$14&lt;F17,I$14,D18)</f>
        <v>54557.20930232558</v>
      </c>
      <c r="F18" s="486">
        <f>+D18-E18</f>
        <v>2271438.5049833884</v>
      </c>
      <c r="G18" s="487">
        <f>(D18+F18)/2*I$12+E18</f>
        <v>319039.17572902405</v>
      </c>
      <c r="H18" s="456">
        <f>+(D18+F18)/2*I$13+E18</f>
        <v>319039.17572902405</v>
      </c>
      <c r="I18" s="476">
        <f>H18-G18</f>
        <v>0</v>
      </c>
      <c r="J18" s="476"/>
      <c r="K18" s="488"/>
      <c r="L18" s="479">
        <f t="shared" ref="L18:L72" si="3">IF(K18&lt;&gt;0,+G18-K18,0)</f>
        <v>0</v>
      </c>
      <c r="M18" s="488"/>
      <c r="N18" s="479">
        <f t="shared" si="1"/>
        <v>0</v>
      </c>
      <c r="O18" s="479">
        <f t="shared" si="2"/>
        <v>0</v>
      </c>
      <c r="P18" s="243"/>
    </row>
    <row r="19" spans="2:16" ht="12.5">
      <c r="B19" s="160" t="str">
        <f>IF(D19=F18,"","IU")</f>
        <v/>
      </c>
      <c r="C19" s="473">
        <f>IF(D11="","-",+C18+1)</f>
        <v>2022</v>
      </c>
      <c r="D19" s="484">
        <f>IF(F18+SUM(E$17:E18)=D$10,F18,D$10-SUM(E$17:E18))</f>
        <v>2271438.5049833884</v>
      </c>
      <c r="E19" s="485">
        <f t="shared" ref="E19:E71" si="4">IF(+I$14&lt;F18,I$14,D19)</f>
        <v>54557.20930232558</v>
      </c>
      <c r="F19" s="486">
        <f t="shared" ref="F19:F71" si="5">+D19-E19</f>
        <v>2216881.2956810626</v>
      </c>
      <c r="G19" s="487">
        <f t="shared" ref="G19:G71" si="6">(D19+F19)/2*I$12+E19</f>
        <v>312762.02316485922</v>
      </c>
      <c r="H19" s="456">
        <f t="shared" ref="H19:H71" si="7">+(D19+F19)/2*I$13+E19</f>
        <v>312762.02316485922</v>
      </c>
      <c r="I19" s="476">
        <f t="shared" ref="I19:I71" si="8">H19-G19</f>
        <v>0</v>
      </c>
      <c r="J19" s="476"/>
      <c r="K19" s="488"/>
      <c r="L19" s="479">
        <f t="shared" si="3"/>
        <v>0</v>
      </c>
      <c r="M19" s="488"/>
      <c r="N19" s="479">
        <f t="shared" si="1"/>
        <v>0</v>
      </c>
      <c r="O19" s="479">
        <f t="shared" si="2"/>
        <v>0</v>
      </c>
      <c r="P19" s="243"/>
    </row>
    <row r="20" spans="2:16" ht="12.5">
      <c r="B20" s="160" t="str">
        <f t="shared" ref="B20:B72" si="9">IF(D20=F19,"","IU")</f>
        <v/>
      </c>
      <c r="C20" s="473">
        <f>IF(D11="","-",+C19+1)</f>
        <v>2023</v>
      </c>
      <c r="D20" s="484">
        <f>IF(F19+SUM(E$17:E19)=D$10,F19,D$10-SUM(E$17:E19))</f>
        <v>2216881.2956810626</v>
      </c>
      <c r="E20" s="485">
        <f t="shared" si="4"/>
        <v>54557.20930232558</v>
      </c>
      <c r="F20" s="486">
        <f t="shared" si="5"/>
        <v>2162324.0863787369</v>
      </c>
      <c r="G20" s="487">
        <f t="shared" si="6"/>
        <v>306484.87060069438</v>
      </c>
      <c r="H20" s="456">
        <f t="shared" si="7"/>
        <v>306484.87060069438</v>
      </c>
      <c r="I20" s="476">
        <f t="shared" si="8"/>
        <v>0</v>
      </c>
      <c r="J20" s="476"/>
      <c r="K20" s="488"/>
      <c r="L20" s="479">
        <f t="shared" si="3"/>
        <v>0</v>
      </c>
      <c r="M20" s="488"/>
      <c r="N20" s="479">
        <f t="shared" si="1"/>
        <v>0</v>
      </c>
      <c r="O20" s="479">
        <f t="shared" si="2"/>
        <v>0</v>
      </c>
      <c r="P20" s="243"/>
    </row>
    <row r="21" spans="2:16" ht="12.5">
      <c r="B21" s="160" t="str">
        <f t="shared" si="9"/>
        <v/>
      </c>
      <c r="C21" s="473">
        <f>IF(D11="","-",+C20+1)</f>
        <v>2024</v>
      </c>
      <c r="D21" s="484">
        <f>IF(F20+SUM(E$17:E20)=D$10,F20,D$10-SUM(E$17:E20))</f>
        <v>2162324.0863787369</v>
      </c>
      <c r="E21" s="485">
        <f t="shared" si="4"/>
        <v>54557.20930232558</v>
      </c>
      <c r="F21" s="486">
        <f t="shared" si="5"/>
        <v>2107766.8770764112</v>
      </c>
      <c r="G21" s="487">
        <f t="shared" si="6"/>
        <v>300207.71803652961</v>
      </c>
      <c r="H21" s="456">
        <f t="shared" si="7"/>
        <v>300207.71803652961</v>
      </c>
      <c r="I21" s="476">
        <f t="shared" si="8"/>
        <v>0</v>
      </c>
      <c r="J21" s="476"/>
      <c r="K21" s="488"/>
      <c r="L21" s="479">
        <f t="shared" si="3"/>
        <v>0</v>
      </c>
      <c r="M21" s="488"/>
      <c r="N21" s="479">
        <f t="shared" si="1"/>
        <v>0</v>
      </c>
      <c r="O21" s="479">
        <f t="shared" si="2"/>
        <v>0</v>
      </c>
      <c r="P21" s="243"/>
    </row>
    <row r="22" spans="2:16" ht="12.5">
      <c r="B22" s="160" t="str">
        <f t="shared" si="9"/>
        <v/>
      </c>
      <c r="C22" s="473">
        <f>IF(D11="","-",+C21+1)</f>
        <v>2025</v>
      </c>
      <c r="D22" s="484">
        <f>IF(F21+SUM(E$17:E21)=D$10,F21,D$10-SUM(E$17:E21))</f>
        <v>2107766.8770764112</v>
      </c>
      <c r="E22" s="485">
        <f t="shared" si="4"/>
        <v>54557.20930232558</v>
      </c>
      <c r="F22" s="486">
        <f t="shared" si="5"/>
        <v>2053209.6677740857</v>
      </c>
      <c r="G22" s="487">
        <f t="shared" si="6"/>
        <v>293930.56547236477</v>
      </c>
      <c r="H22" s="456">
        <f t="shared" si="7"/>
        <v>293930.56547236477</v>
      </c>
      <c r="I22" s="476">
        <f t="shared" si="8"/>
        <v>0</v>
      </c>
      <c r="J22" s="476"/>
      <c r="K22" s="488"/>
      <c r="L22" s="479">
        <f t="shared" si="3"/>
        <v>0</v>
      </c>
      <c r="M22" s="488"/>
      <c r="N22" s="479">
        <f t="shared" si="1"/>
        <v>0</v>
      </c>
      <c r="O22" s="479">
        <f t="shared" si="2"/>
        <v>0</v>
      </c>
      <c r="P22" s="243"/>
    </row>
    <row r="23" spans="2:16" ht="12.5">
      <c r="B23" s="160" t="str">
        <f t="shared" si="9"/>
        <v/>
      </c>
      <c r="C23" s="473">
        <f>IF(D11="","-",+C22+1)</f>
        <v>2026</v>
      </c>
      <c r="D23" s="484">
        <f>IF(F22+SUM(E$17:E22)=D$10,F22,D$10-SUM(E$17:E22))</f>
        <v>2053209.6677740857</v>
      </c>
      <c r="E23" s="485">
        <f t="shared" si="4"/>
        <v>54557.20930232558</v>
      </c>
      <c r="F23" s="486">
        <f t="shared" si="5"/>
        <v>1998652.4584717602</v>
      </c>
      <c r="G23" s="487">
        <f t="shared" si="6"/>
        <v>287653.4129082</v>
      </c>
      <c r="H23" s="456">
        <f t="shared" si="7"/>
        <v>287653.4129082</v>
      </c>
      <c r="I23" s="476">
        <f t="shared" si="8"/>
        <v>0</v>
      </c>
      <c r="J23" s="476"/>
      <c r="K23" s="488"/>
      <c r="L23" s="479">
        <f t="shared" si="3"/>
        <v>0</v>
      </c>
      <c r="M23" s="488"/>
      <c r="N23" s="479">
        <f t="shared" si="1"/>
        <v>0</v>
      </c>
      <c r="O23" s="479">
        <f t="shared" si="2"/>
        <v>0</v>
      </c>
      <c r="P23" s="243"/>
    </row>
    <row r="24" spans="2:16" ht="12.5">
      <c r="B24" s="160" t="str">
        <f t="shared" si="9"/>
        <v/>
      </c>
      <c r="C24" s="473">
        <f>IF(D11="","-",+C23+1)</f>
        <v>2027</v>
      </c>
      <c r="D24" s="484">
        <f>IF(F23+SUM(E$17:E23)=D$10,F23,D$10-SUM(E$17:E23))</f>
        <v>1998652.4584717602</v>
      </c>
      <c r="E24" s="485">
        <f t="shared" si="4"/>
        <v>54557.20930232558</v>
      </c>
      <c r="F24" s="486">
        <f t="shared" si="5"/>
        <v>1944095.2491694347</v>
      </c>
      <c r="G24" s="487">
        <f t="shared" si="6"/>
        <v>281376.26034403517</v>
      </c>
      <c r="H24" s="456">
        <f t="shared" si="7"/>
        <v>281376.26034403517</v>
      </c>
      <c r="I24" s="476">
        <f t="shared" si="8"/>
        <v>0</v>
      </c>
      <c r="J24" s="476"/>
      <c r="K24" s="488"/>
      <c r="L24" s="479">
        <f t="shared" si="3"/>
        <v>0</v>
      </c>
      <c r="M24" s="488"/>
      <c r="N24" s="479">
        <f t="shared" si="1"/>
        <v>0</v>
      </c>
      <c r="O24" s="479">
        <f t="shared" si="2"/>
        <v>0</v>
      </c>
      <c r="P24" s="243"/>
    </row>
    <row r="25" spans="2:16" ht="12.5">
      <c r="B25" s="160" t="str">
        <f t="shared" si="9"/>
        <v/>
      </c>
      <c r="C25" s="473">
        <f>IF(D11="","-",+C24+1)</f>
        <v>2028</v>
      </c>
      <c r="D25" s="484">
        <f>IF(F24+SUM(E$17:E24)=D$10,F24,D$10-SUM(E$17:E24))</f>
        <v>1944095.2491694347</v>
      </c>
      <c r="E25" s="485">
        <f t="shared" si="4"/>
        <v>54557.20930232558</v>
      </c>
      <c r="F25" s="486">
        <f t="shared" si="5"/>
        <v>1889538.0398671092</v>
      </c>
      <c r="G25" s="487">
        <f t="shared" si="6"/>
        <v>275099.10777987039</v>
      </c>
      <c r="H25" s="456">
        <f t="shared" si="7"/>
        <v>275099.10777987039</v>
      </c>
      <c r="I25" s="476">
        <f t="shared" si="8"/>
        <v>0</v>
      </c>
      <c r="J25" s="476"/>
      <c r="K25" s="488"/>
      <c r="L25" s="479">
        <f t="shared" si="3"/>
        <v>0</v>
      </c>
      <c r="M25" s="488"/>
      <c r="N25" s="479">
        <f t="shared" si="1"/>
        <v>0</v>
      </c>
      <c r="O25" s="479">
        <f t="shared" si="2"/>
        <v>0</v>
      </c>
      <c r="P25" s="243"/>
    </row>
    <row r="26" spans="2:16" ht="12.5">
      <c r="B26" s="160" t="str">
        <f t="shared" si="9"/>
        <v/>
      </c>
      <c r="C26" s="473">
        <f>IF(D11="","-",+C25+1)</f>
        <v>2029</v>
      </c>
      <c r="D26" s="484">
        <f>IF(F25+SUM(E$17:E25)=D$10,F25,D$10-SUM(E$17:E25))</f>
        <v>1889538.0398671092</v>
      </c>
      <c r="E26" s="485">
        <f t="shared" si="4"/>
        <v>54557.20930232558</v>
      </c>
      <c r="F26" s="486">
        <f t="shared" si="5"/>
        <v>1834980.8305647837</v>
      </c>
      <c r="G26" s="487">
        <f t="shared" si="6"/>
        <v>268821.95521570556</v>
      </c>
      <c r="H26" s="456">
        <f t="shared" si="7"/>
        <v>268821.95521570556</v>
      </c>
      <c r="I26" s="476">
        <f t="shared" si="8"/>
        <v>0</v>
      </c>
      <c r="J26" s="476"/>
      <c r="K26" s="488"/>
      <c r="L26" s="479">
        <f t="shared" si="3"/>
        <v>0</v>
      </c>
      <c r="M26" s="488"/>
      <c r="N26" s="479">
        <f t="shared" si="1"/>
        <v>0</v>
      </c>
      <c r="O26" s="479">
        <f t="shared" si="2"/>
        <v>0</v>
      </c>
      <c r="P26" s="243"/>
    </row>
    <row r="27" spans="2:16" ht="12.5">
      <c r="B27" s="160" t="str">
        <f t="shared" si="9"/>
        <v/>
      </c>
      <c r="C27" s="473">
        <f>IF(D11="","-",+C26+1)</f>
        <v>2030</v>
      </c>
      <c r="D27" s="484">
        <f>IF(F26+SUM(E$17:E26)=D$10,F26,D$10-SUM(E$17:E26))</f>
        <v>1834980.8305647837</v>
      </c>
      <c r="E27" s="485">
        <f t="shared" si="4"/>
        <v>54557.20930232558</v>
      </c>
      <c r="F27" s="486">
        <f t="shared" si="5"/>
        <v>1780423.6212624582</v>
      </c>
      <c r="G27" s="487">
        <f t="shared" si="6"/>
        <v>262544.80265154078</v>
      </c>
      <c r="H27" s="456">
        <f t="shared" si="7"/>
        <v>262544.80265154078</v>
      </c>
      <c r="I27" s="476">
        <f t="shared" si="8"/>
        <v>0</v>
      </c>
      <c r="J27" s="476"/>
      <c r="K27" s="488"/>
      <c r="L27" s="479">
        <f t="shared" si="3"/>
        <v>0</v>
      </c>
      <c r="M27" s="488"/>
      <c r="N27" s="479">
        <f t="shared" si="1"/>
        <v>0</v>
      </c>
      <c r="O27" s="479">
        <f t="shared" si="2"/>
        <v>0</v>
      </c>
      <c r="P27" s="243"/>
    </row>
    <row r="28" spans="2:16" ht="12.5">
      <c r="B28" s="160" t="str">
        <f t="shared" si="9"/>
        <v/>
      </c>
      <c r="C28" s="473">
        <f>IF(D11="","-",+C27+1)</f>
        <v>2031</v>
      </c>
      <c r="D28" s="484">
        <f>IF(F27+SUM(E$17:E27)=D$10,F27,D$10-SUM(E$17:E27))</f>
        <v>1780423.6212624582</v>
      </c>
      <c r="E28" s="485">
        <f t="shared" si="4"/>
        <v>54557.20930232558</v>
      </c>
      <c r="F28" s="486">
        <f t="shared" si="5"/>
        <v>1725866.4119601327</v>
      </c>
      <c r="G28" s="487">
        <f t="shared" si="6"/>
        <v>256267.65008737598</v>
      </c>
      <c r="H28" s="456">
        <f t="shared" si="7"/>
        <v>256267.65008737598</v>
      </c>
      <c r="I28" s="476">
        <f t="shared" si="8"/>
        <v>0</v>
      </c>
      <c r="J28" s="476"/>
      <c r="K28" s="488"/>
      <c r="L28" s="479">
        <f t="shared" si="3"/>
        <v>0</v>
      </c>
      <c r="M28" s="488"/>
      <c r="N28" s="479">
        <f t="shared" si="1"/>
        <v>0</v>
      </c>
      <c r="O28" s="479">
        <f t="shared" si="2"/>
        <v>0</v>
      </c>
      <c r="P28" s="243"/>
    </row>
    <row r="29" spans="2:16" ht="12.5">
      <c r="B29" s="160" t="str">
        <f t="shared" si="9"/>
        <v/>
      </c>
      <c r="C29" s="473">
        <f>IF(D11="","-",+C28+1)</f>
        <v>2032</v>
      </c>
      <c r="D29" s="484">
        <f>IF(F28+SUM(E$17:E28)=D$10,F28,D$10-SUM(E$17:E28))</f>
        <v>1725866.4119601327</v>
      </c>
      <c r="E29" s="485">
        <f t="shared" si="4"/>
        <v>54557.20930232558</v>
      </c>
      <c r="F29" s="486">
        <f t="shared" si="5"/>
        <v>1671309.2026578072</v>
      </c>
      <c r="G29" s="487">
        <f t="shared" si="6"/>
        <v>249990.4975232112</v>
      </c>
      <c r="H29" s="456">
        <f t="shared" si="7"/>
        <v>249990.4975232112</v>
      </c>
      <c r="I29" s="476">
        <f t="shared" si="8"/>
        <v>0</v>
      </c>
      <c r="J29" s="476"/>
      <c r="K29" s="488"/>
      <c r="L29" s="479">
        <f t="shared" si="3"/>
        <v>0</v>
      </c>
      <c r="M29" s="488"/>
      <c r="N29" s="479">
        <f t="shared" si="1"/>
        <v>0</v>
      </c>
      <c r="O29" s="479">
        <f t="shared" si="2"/>
        <v>0</v>
      </c>
      <c r="P29" s="243"/>
    </row>
    <row r="30" spans="2:16" ht="12.5">
      <c r="B30" s="160" t="str">
        <f t="shared" si="9"/>
        <v/>
      </c>
      <c r="C30" s="473">
        <f>IF(D11="","-",+C29+1)</f>
        <v>2033</v>
      </c>
      <c r="D30" s="484">
        <f>IF(F29+SUM(E$17:E29)=D$10,F29,D$10-SUM(E$17:E29))</f>
        <v>1671309.2026578072</v>
      </c>
      <c r="E30" s="485">
        <f t="shared" si="4"/>
        <v>54557.20930232558</v>
      </c>
      <c r="F30" s="486">
        <f t="shared" si="5"/>
        <v>1616751.9933554817</v>
      </c>
      <c r="G30" s="487">
        <f t="shared" si="6"/>
        <v>243713.3449590464</v>
      </c>
      <c r="H30" s="456">
        <f t="shared" si="7"/>
        <v>243713.3449590464</v>
      </c>
      <c r="I30" s="476">
        <f t="shared" si="8"/>
        <v>0</v>
      </c>
      <c r="J30" s="476"/>
      <c r="K30" s="488"/>
      <c r="L30" s="479">
        <f t="shared" si="3"/>
        <v>0</v>
      </c>
      <c r="M30" s="488"/>
      <c r="N30" s="479">
        <f t="shared" si="1"/>
        <v>0</v>
      </c>
      <c r="O30" s="479">
        <f t="shared" si="2"/>
        <v>0</v>
      </c>
      <c r="P30" s="243"/>
    </row>
    <row r="31" spans="2:16" ht="12.5">
      <c r="B31" s="160" t="str">
        <f t="shared" si="9"/>
        <v/>
      </c>
      <c r="C31" s="473">
        <f>IF(D11="","-",+C30+1)</f>
        <v>2034</v>
      </c>
      <c r="D31" s="484">
        <f>IF(F30+SUM(E$17:E30)=D$10,F30,D$10-SUM(E$17:E30))</f>
        <v>1616751.9933554817</v>
      </c>
      <c r="E31" s="485">
        <f t="shared" si="4"/>
        <v>54557.20930232558</v>
      </c>
      <c r="F31" s="486">
        <f t="shared" si="5"/>
        <v>1562194.7840531562</v>
      </c>
      <c r="G31" s="487">
        <f t="shared" si="6"/>
        <v>237436.19239488163</v>
      </c>
      <c r="H31" s="456">
        <f t="shared" si="7"/>
        <v>237436.19239488163</v>
      </c>
      <c r="I31" s="476">
        <f t="shared" si="8"/>
        <v>0</v>
      </c>
      <c r="J31" s="476"/>
      <c r="K31" s="488"/>
      <c r="L31" s="479">
        <f t="shared" si="3"/>
        <v>0</v>
      </c>
      <c r="M31" s="488"/>
      <c r="N31" s="479">
        <f t="shared" si="1"/>
        <v>0</v>
      </c>
      <c r="O31" s="479">
        <f t="shared" si="2"/>
        <v>0</v>
      </c>
      <c r="P31" s="243"/>
    </row>
    <row r="32" spans="2:16" ht="12.5">
      <c r="B32" s="160" t="str">
        <f t="shared" si="9"/>
        <v/>
      </c>
      <c r="C32" s="473">
        <f>IF(D11="","-",+C31+1)</f>
        <v>2035</v>
      </c>
      <c r="D32" s="484">
        <f>IF(F31+SUM(E$17:E31)=D$10,F31,D$10-SUM(E$17:E31))</f>
        <v>1562194.7840531562</v>
      </c>
      <c r="E32" s="485">
        <f t="shared" si="4"/>
        <v>54557.20930232558</v>
      </c>
      <c r="F32" s="486">
        <f t="shared" si="5"/>
        <v>1507637.5747508307</v>
      </c>
      <c r="G32" s="487">
        <f t="shared" si="6"/>
        <v>231159.03983071679</v>
      </c>
      <c r="H32" s="456">
        <f t="shared" si="7"/>
        <v>231159.03983071679</v>
      </c>
      <c r="I32" s="476">
        <f t="shared" si="8"/>
        <v>0</v>
      </c>
      <c r="J32" s="476"/>
      <c r="K32" s="488"/>
      <c r="L32" s="479">
        <f t="shared" si="3"/>
        <v>0</v>
      </c>
      <c r="M32" s="488"/>
      <c r="N32" s="479">
        <f t="shared" si="1"/>
        <v>0</v>
      </c>
      <c r="O32" s="479">
        <f t="shared" si="2"/>
        <v>0</v>
      </c>
      <c r="P32" s="243"/>
    </row>
    <row r="33" spans="2:16" ht="12.5">
      <c r="B33" s="160" t="str">
        <f t="shared" si="9"/>
        <v/>
      </c>
      <c r="C33" s="473">
        <f>IF(D11="","-",+C32+1)</f>
        <v>2036</v>
      </c>
      <c r="D33" s="484">
        <f>IF(F32+SUM(E$17:E32)=D$10,F32,D$10-SUM(E$17:E32))</f>
        <v>1507637.5747508307</v>
      </c>
      <c r="E33" s="485">
        <f t="shared" si="4"/>
        <v>54557.20930232558</v>
      </c>
      <c r="F33" s="486">
        <f t="shared" si="5"/>
        <v>1453080.3654485052</v>
      </c>
      <c r="G33" s="487">
        <f t="shared" si="6"/>
        <v>224881.88726655202</v>
      </c>
      <c r="H33" s="456">
        <f t="shared" si="7"/>
        <v>224881.88726655202</v>
      </c>
      <c r="I33" s="476">
        <f t="shared" si="8"/>
        <v>0</v>
      </c>
      <c r="J33" s="476"/>
      <c r="K33" s="488"/>
      <c r="L33" s="479">
        <f t="shared" si="3"/>
        <v>0</v>
      </c>
      <c r="M33" s="488"/>
      <c r="N33" s="479">
        <f t="shared" si="1"/>
        <v>0</v>
      </c>
      <c r="O33" s="479">
        <f t="shared" si="2"/>
        <v>0</v>
      </c>
      <c r="P33" s="243"/>
    </row>
    <row r="34" spans="2:16" ht="12.5">
      <c r="B34" s="160" t="str">
        <f t="shared" si="9"/>
        <v/>
      </c>
      <c r="C34" s="473">
        <f>IF(D11="","-",+C33+1)</f>
        <v>2037</v>
      </c>
      <c r="D34" s="484">
        <f>IF(F33+SUM(E$17:E33)=D$10,F33,D$10-SUM(E$17:E33))</f>
        <v>1453080.3654485052</v>
      </c>
      <c r="E34" s="485">
        <f t="shared" si="4"/>
        <v>54557.20930232558</v>
      </c>
      <c r="F34" s="486">
        <f t="shared" si="5"/>
        <v>1398523.1561461797</v>
      </c>
      <c r="G34" s="487">
        <f t="shared" si="6"/>
        <v>218604.73470238721</v>
      </c>
      <c r="H34" s="456">
        <f t="shared" si="7"/>
        <v>218604.73470238721</v>
      </c>
      <c r="I34" s="476">
        <f t="shared" si="8"/>
        <v>0</v>
      </c>
      <c r="J34" s="476"/>
      <c r="K34" s="488"/>
      <c r="L34" s="479">
        <f t="shared" si="3"/>
        <v>0</v>
      </c>
      <c r="M34" s="488"/>
      <c r="N34" s="479">
        <f t="shared" si="1"/>
        <v>0</v>
      </c>
      <c r="O34" s="479">
        <f t="shared" si="2"/>
        <v>0</v>
      </c>
      <c r="P34" s="243"/>
    </row>
    <row r="35" spans="2:16" ht="12.5">
      <c r="B35" s="160" t="str">
        <f t="shared" si="9"/>
        <v/>
      </c>
      <c r="C35" s="473">
        <f>IF(D11="","-",+C34+1)</f>
        <v>2038</v>
      </c>
      <c r="D35" s="484">
        <f>IF(F34+SUM(E$17:E34)=D$10,F34,D$10-SUM(E$17:E34))</f>
        <v>1398523.1561461797</v>
      </c>
      <c r="E35" s="485">
        <f t="shared" si="4"/>
        <v>54557.20930232558</v>
      </c>
      <c r="F35" s="486">
        <f t="shared" si="5"/>
        <v>1343965.9468438542</v>
      </c>
      <c r="G35" s="487">
        <f t="shared" si="6"/>
        <v>212327.58213822244</v>
      </c>
      <c r="H35" s="456">
        <f t="shared" si="7"/>
        <v>212327.58213822244</v>
      </c>
      <c r="I35" s="476">
        <f t="shared" si="8"/>
        <v>0</v>
      </c>
      <c r="J35" s="476"/>
      <c r="K35" s="488"/>
      <c r="L35" s="479">
        <f t="shared" si="3"/>
        <v>0</v>
      </c>
      <c r="M35" s="488"/>
      <c r="N35" s="479">
        <f t="shared" si="1"/>
        <v>0</v>
      </c>
      <c r="O35" s="479">
        <f t="shared" si="2"/>
        <v>0</v>
      </c>
      <c r="P35" s="243"/>
    </row>
    <row r="36" spans="2:16" ht="12.5">
      <c r="B36" s="160" t="str">
        <f t="shared" si="9"/>
        <v/>
      </c>
      <c r="C36" s="473">
        <f>IF(D11="","-",+C35+1)</f>
        <v>2039</v>
      </c>
      <c r="D36" s="484">
        <f>IF(F35+SUM(E$17:E35)=D$10,F35,D$10-SUM(E$17:E35))</f>
        <v>1343965.9468438542</v>
      </c>
      <c r="E36" s="485">
        <f t="shared" si="4"/>
        <v>54557.20930232558</v>
      </c>
      <c r="F36" s="486">
        <f t="shared" si="5"/>
        <v>1289408.7375415287</v>
      </c>
      <c r="G36" s="487">
        <f t="shared" si="6"/>
        <v>206050.42957405761</v>
      </c>
      <c r="H36" s="456">
        <f t="shared" si="7"/>
        <v>206050.42957405761</v>
      </c>
      <c r="I36" s="476">
        <f t="shared" si="8"/>
        <v>0</v>
      </c>
      <c r="J36" s="476"/>
      <c r="K36" s="488"/>
      <c r="L36" s="479">
        <f t="shared" si="3"/>
        <v>0</v>
      </c>
      <c r="M36" s="488"/>
      <c r="N36" s="479">
        <f t="shared" si="1"/>
        <v>0</v>
      </c>
      <c r="O36" s="479">
        <f t="shared" si="2"/>
        <v>0</v>
      </c>
      <c r="P36" s="243"/>
    </row>
    <row r="37" spans="2:16" ht="12.5">
      <c r="B37" s="160" t="str">
        <f t="shared" si="9"/>
        <v/>
      </c>
      <c r="C37" s="473">
        <f>IF(D11="","-",+C36+1)</f>
        <v>2040</v>
      </c>
      <c r="D37" s="484">
        <f>IF(F36+SUM(E$17:E36)=D$10,F36,D$10-SUM(E$17:E36))</f>
        <v>1289408.7375415287</v>
      </c>
      <c r="E37" s="485">
        <f t="shared" si="4"/>
        <v>54557.20930232558</v>
      </c>
      <c r="F37" s="486">
        <f t="shared" si="5"/>
        <v>1234851.5282392032</v>
      </c>
      <c r="G37" s="487">
        <f t="shared" si="6"/>
        <v>199773.27700989283</v>
      </c>
      <c r="H37" s="456">
        <f t="shared" si="7"/>
        <v>199773.27700989283</v>
      </c>
      <c r="I37" s="476">
        <f t="shared" si="8"/>
        <v>0</v>
      </c>
      <c r="J37" s="476"/>
      <c r="K37" s="488"/>
      <c r="L37" s="479">
        <f t="shared" si="3"/>
        <v>0</v>
      </c>
      <c r="M37" s="488"/>
      <c r="N37" s="479">
        <f t="shared" si="1"/>
        <v>0</v>
      </c>
      <c r="O37" s="479">
        <f t="shared" si="2"/>
        <v>0</v>
      </c>
      <c r="P37" s="243"/>
    </row>
    <row r="38" spans="2:16" ht="12.5">
      <c r="B38" s="160" t="str">
        <f t="shared" si="9"/>
        <v/>
      </c>
      <c r="C38" s="473">
        <f>IF(D11="","-",+C37+1)</f>
        <v>2041</v>
      </c>
      <c r="D38" s="484">
        <f>IF(F37+SUM(E$17:E37)=D$10,F37,D$10-SUM(E$17:E37))</f>
        <v>1234851.5282392032</v>
      </c>
      <c r="E38" s="485">
        <f t="shared" si="4"/>
        <v>54557.20930232558</v>
      </c>
      <c r="F38" s="486">
        <f t="shared" si="5"/>
        <v>1180294.3189368777</v>
      </c>
      <c r="G38" s="487">
        <f t="shared" si="6"/>
        <v>193496.12444572803</v>
      </c>
      <c r="H38" s="456">
        <f t="shared" si="7"/>
        <v>193496.12444572803</v>
      </c>
      <c r="I38" s="476">
        <f t="shared" si="8"/>
        <v>0</v>
      </c>
      <c r="J38" s="476"/>
      <c r="K38" s="488"/>
      <c r="L38" s="479">
        <f t="shared" si="3"/>
        <v>0</v>
      </c>
      <c r="M38" s="488"/>
      <c r="N38" s="479">
        <f t="shared" si="1"/>
        <v>0</v>
      </c>
      <c r="O38" s="479">
        <f t="shared" si="2"/>
        <v>0</v>
      </c>
      <c r="P38" s="243"/>
    </row>
    <row r="39" spans="2:16" ht="12.5">
      <c r="B39" s="160" t="str">
        <f t="shared" si="9"/>
        <v/>
      </c>
      <c r="C39" s="473">
        <f>IF(D11="","-",+C38+1)</f>
        <v>2042</v>
      </c>
      <c r="D39" s="484">
        <f>IF(F38+SUM(E$17:E38)=D$10,F38,D$10-SUM(E$17:E38))</f>
        <v>1180294.3189368777</v>
      </c>
      <c r="E39" s="485">
        <f t="shared" si="4"/>
        <v>54557.20930232558</v>
      </c>
      <c r="F39" s="486">
        <f t="shared" si="5"/>
        <v>1125737.1096345522</v>
      </c>
      <c r="G39" s="487">
        <f t="shared" si="6"/>
        <v>187218.97188156325</v>
      </c>
      <c r="H39" s="456">
        <f t="shared" si="7"/>
        <v>187218.97188156325</v>
      </c>
      <c r="I39" s="476">
        <f t="shared" si="8"/>
        <v>0</v>
      </c>
      <c r="J39" s="476"/>
      <c r="K39" s="488"/>
      <c r="L39" s="479">
        <f t="shared" si="3"/>
        <v>0</v>
      </c>
      <c r="M39" s="488"/>
      <c r="N39" s="479">
        <f t="shared" si="1"/>
        <v>0</v>
      </c>
      <c r="O39" s="479">
        <f t="shared" si="2"/>
        <v>0</v>
      </c>
      <c r="P39" s="243"/>
    </row>
    <row r="40" spans="2:16" ht="12.5">
      <c r="B40" s="160" t="str">
        <f t="shared" si="9"/>
        <v/>
      </c>
      <c r="C40" s="473">
        <f>IF(D11="","-",+C39+1)</f>
        <v>2043</v>
      </c>
      <c r="D40" s="484">
        <f>IF(F39+SUM(E$17:E39)=D$10,F39,D$10-SUM(E$17:E39))</f>
        <v>1125737.1096345522</v>
      </c>
      <c r="E40" s="485">
        <f t="shared" si="4"/>
        <v>54557.20930232558</v>
      </c>
      <c r="F40" s="486">
        <f t="shared" si="5"/>
        <v>1071179.9003322267</v>
      </c>
      <c r="G40" s="487">
        <f t="shared" si="6"/>
        <v>180941.81931739842</v>
      </c>
      <c r="H40" s="456">
        <f t="shared" si="7"/>
        <v>180941.81931739842</v>
      </c>
      <c r="I40" s="476">
        <f t="shared" si="8"/>
        <v>0</v>
      </c>
      <c r="J40" s="476"/>
      <c r="K40" s="488"/>
      <c r="L40" s="479">
        <f t="shared" si="3"/>
        <v>0</v>
      </c>
      <c r="M40" s="488"/>
      <c r="N40" s="479">
        <f t="shared" si="1"/>
        <v>0</v>
      </c>
      <c r="O40" s="479">
        <f t="shared" si="2"/>
        <v>0</v>
      </c>
      <c r="P40" s="243"/>
    </row>
    <row r="41" spans="2:16" ht="12.5">
      <c r="B41" s="160" t="str">
        <f t="shared" si="9"/>
        <v/>
      </c>
      <c r="C41" s="473">
        <f>IF(D11="","-",+C40+1)</f>
        <v>2044</v>
      </c>
      <c r="D41" s="484">
        <f>IF(F40+SUM(E$17:E40)=D$10,F40,D$10-SUM(E$17:E40))</f>
        <v>1071179.9003322267</v>
      </c>
      <c r="E41" s="485">
        <f t="shared" si="4"/>
        <v>54557.20930232558</v>
      </c>
      <c r="F41" s="486">
        <f t="shared" si="5"/>
        <v>1016622.691029901</v>
      </c>
      <c r="G41" s="487">
        <f t="shared" si="6"/>
        <v>174664.66675323361</v>
      </c>
      <c r="H41" s="456">
        <f t="shared" si="7"/>
        <v>174664.66675323361</v>
      </c>
      <c r="I41" s="476">
        <f t="shared" si="8"/>
        <v>0</v>
      </c>
      <c r="J41" s="476"/>
      <c r="K41" s="488"/>
      <c r="L41" s="479">
        <f t="shared" si="3"/>
        <v>0</v>
      </c>
      <c r="M41" s="488"/>
      <c r="N41" s="479">
        <f t="shared" si="1"/>
        <v>0</v>
      </c>
      <c r="O41" s="479">
        <f t="shared" si="2"/>
        <v>0</v>
      </c>
      <c r="P41" s="243"/>
    </row>
    <row r="42" spans="2:16" ht="12.5">
      <c r="B42" s="160" t="str">
        <f t="shared" si="9"/>
        <v/>
      </c>
      <c r="C42" s="473">
        <f>IF(D11="","-",+C41+1)</f>
        <v>2045</v>
      </c>
      <c r="D42" s="484">
        <f>IF(F41+SUM(E$17:E41)=D$10,F41,D$10-SUM(E$17:E41))</f>
        <v>1016622.691029901</v>
      </c>
      <c r="E42" s="485">
        <f t="shared" si="4"/>
        <v>54557.20930232558</v>
      </c>
      <c r="F42" s="486">
        <f t="shared" si="5"/>
        <v>962065.48172757542</v>
      </c>
      <c r="G42" s="487">
        <f t="shared" si="6"/>
        <v>168387.51418906881</v>
      </c>
      <c r="H42" s="456">
        <f t="shared" si="7"/>
        <v>168387.51418906881</v>
      </c>
      <c r="I42" s="476">
        <f t="shared" si="8"/>
        <v>0</v>
      </c>
      <c r="J42" s="476"/>
      <c r="K42" s="488"/>
      <c r="L42" s="479">
        <f t="shared" si="3"/>
        <v>0</v>
      </c>
      <c r="M42" s="488"/>
      <c r="N42" s="479">
        <f t="shared" si="1"/>
        <v>0</v>
      </c>
      <c r="O42" s="479">
        <f t="shared" si="2"/>
        <v>0</v>
      </c>
      <c r="P42" s="243"/>
    </row>
    <row r="43" spans="2:16" ht="12.5">
      <c r="B43" s="160" t="str">
        <f t="shared" si="9"/>
        <v/>
      </c>
      <c r="C43" s="473">
        <f>IF(D11="","-",+C42+1)</f>
        <v>2046</v>
      </c>
      <c r="D43" s="484">
        <f>IF(F42+SUM(E$17:E42)=D$10,F42,D$10-SUM(E$17:E42))</f>
        <v>962065.48172757542</v>
      </c>
      <c r="E43" s="485">
        <f t="shared" si="4"/>
        <v>54557.20930232558</v>
      </c>
      <c r="F43" s="486">
        <f t="shared" si="5"/>
        <v>907508.2724252498</v>
      </c>
      <c r="G43" s="487">
        <f t="shared" si="6"/>
        <v>162110.36162490398</v>
      </c>
      <c r="H43" s="456">
        <f t="shared" si="7"/>
        <v>162110.36162490398</v>
      </c>
      <c r="I43" s="476">
        <f t="shared" si="8"/>
        <v>0</v>
      </c>
      <c r="J43" s="476"/>
      <c r="K43" s="488"/>
      <c r="L43" s="479">
        <f t="shared" si="3"/>
        <v>0</v>
      </c>
      <c r="M43" s="488"/>
      <c r="N43" s="479">
        <f t="shared" si="1"/>
        <v>0</v>
      </c>
      <c r="O43" s="479">
        <f t="shared" si="2"/>
        <v>0</v>
      </c>
      <c r="P43" s="243"/>
    </row>
    <row r="44" spans="2:16" ht="12.5">
      <c r="B44" s="160" t="str">
        <f t="shared" si="9"/>
        <v/>
      </c>
      <c r="C44" s="473">
        <f>IF(D11="","-",+C43+1)</f>
        <v>2047</v>
      </c>
      <c r="D44" s="484">
        <f>IF(F43+SUM(E$17:E43)=D$10,F43,D$10-SUM(E$17:E43))</f>
        <v>907508.2724252498</v>
      </c>
      <c r="E44" s="485">
        <f t="shared" si="4"/>
        <v>54557.20930232558</v>
      </c>
      <c r="F44" s="486">
        <f t="shared" si="5"/>
        <v>852951.06312292418</v>
      </c>
      <c r="G44" s="487">
        <f t="shared" si="6"/>
        <v>155833.2090607392</v>
      </c>
      <c r="H44" s="456">
        <f t="shared" si="7"/>
        <v>155833.2090607392</v>
      </c>
      <c r="I44" s="476">
        <f t="shared" si="8"/>
        <v>0</v>
      </c>
      <c r="J44" s="476"/>
      <c r="K44" s="488"/>
      <c r="L44" s="479">
        <f t="shared" si="3"/>
        <v>0</v>
      </c>
      <c r="M44" s="488"/>
      <c r="N44" s="479">
        <f t="shared" si="1"/>
        <v>0</v>
      </c>
      <c r="O44" s="479">
        <f t="shared" si="2"/>
        <v>0</v>
      </c>
      <c r="P44" s="243"/>
    </row>
    <row r="45" spans="2:16" ht="12.5">
      <c r="B45" s="160" t="str">
        <f t="shared" si="9"/>
        <v/>
      </c>
      <c r="C45" s="473">
        <f>IF(D11="","-",+C44+1)</f>
        <v>2048</v>
      </c>
      <c r="D45" s="484">
        <f>IF(F44+SUM(E$17:E44)=D$10,F44,D$10-SUM(E$17:E44))</f>
        <v>852951.06312292418</v>
      </c>
      <c r="E45" s="485">
        <f t="shared" si="4"/>
        <v>54557.20930232558</v>
      </c>
      <c r="F45" s="486">
        <f t="shared" si="5"/>
        <v>798393.85382059857</v>
      </c>
      <c r="G45" s="487">
        <f t="shared" si="6"/>
        <v>149556.05649657437</v>
      </c>
      <c r="H45" s="456">
        <f t="shared" si="7"/>
        <v>149556.05649657437</v>
      </c>
      <c r="I45" s="476">
        <f t="shared" si="8"/>
        <v>0</v>
      </c>
      <c r="J45" s="476"/>
      <c r="K45" s="488"/>
      <c r="L45" s="479">
        <f t="shared" si="3"/>
        <v>0</v>
      </c>
      <c r="M45" s="488"/>
      <c r="N45" s="479">
        <f t="shared" si="1"/>
        <v>0</v>
      </c>
      <c r="O45" s="479">
        <f t="shared" si="2"/>
        <v>0</v>
      </c>
      <c r="P45" s="243"/>
    </row>
    <row r="46" spans="2:16" ht="12.5">
      <c r="B46" s="160" t="str">
        <f t="shared" si="9"/>
        <v/>
      </c>
      <c r="C46" s="473">
        <f>IF(D11="","-",+C45+1)</f>
        <v>2049</v>
      </c>
      <c r="D46" s="484">
        <f>IF(F45+SUM(E$17:E45)=D$10,F45,D$10-SUM(E$17:E45))</f>
        <v>798393.85382059857</v>
      </c>
      <c r="E46" s="485">
        <f t="shared" si="4"/>
        <v>54557.20930232558</v>
      </c>
      <c r="F46" s="486">
        <f t="shared" si="5"/>
        <v>743836.64451827295</v>
      </c>
      <c r="G46" s="487">
        <f t="shared" si="6"/>
        <v>143278.90393240956</v>
      </c>
      <c r="H46" s="456">
        <f t="shared" si="7"/>
        <v>143278.90393240956</v>
      </c>
      <c r="I46" s="476">
        <f t="shared" si="8"/>
        <v>0</v>
      </c>
      <c r="J46" s="476"/>
      <c r="K46" s="488"/>
      <c r="L46" s="479">
        <f t="shared" si="3"/>
        <v>0</v>
      </c>
      <c r="M46" s="488"/>
      <c r="N46" s="479">
        <f t="shared" si="1"/>
        <v>0</v>
      </c>
      <c r="O46" s="479">
        <f t="shared" si="2"/>
        <v>0</v>
      </c>
      <c r="P46" s="243"/>
    </row>
    <row r="47" spans="2:16" ht="12.5">
      <c r="B47" s="160" t="str">
        <f t="shared" si="9"/>
        <v/>
      </c>
      <c r="C47" s="473">
        <f>IF(D11="","-",+C46+1)</f>
        <v>2050</v>
      </c>
      <c r="D47" s="484">
        <f>IF(F46+SUM(E$17:E46)=D$10,F46,D$10-SUM(E$17:E46))</f>
        <v>743836.64451827295</v>
      </c>
      <c r="E47" s="485">
        <f t="shared" si="4"/>
        <v>54557.20930232558</v>
      </c>
      <c r="F47" s="486">
        <f t="shared" si="5"/>
        <v>689279.43521594733</v>
      </c>
      <c r="G47" s="487">
        <f t="shared" si="6"/>
        <v>137001.75136824476</v>
      </c>
      <c r="H47" s="456">
        <f t="shared" si="7"/>
        <v>137001.75136824476</v>
      </c>
      <c r="I47" s="476">
        <f t="shared" si="8"/>
        <v>0</v>
      </c>
      <c r="J47" s="476"/>
      <c r="K47" s="488"/>
      <c r="L47" s="479">
        <f t="shared" si="3"/>
        <v>0</v>
      </c>
      <c r="M47" s="488"/>
      <c r="N47" s="479">
        <f t="shared" si="1"/>
        <v>0</v>
      </c>
      <c r="O47" s="479">
        <f t="shared" si="2"/>
        <v>0</v>
      </c>
      <c r="P47" s="243"/>
    </row>
    <row r="48" spans="2:16" ht="12.5">
      <c r="B48" s="160" t="str">
        <f t="shared" si="9"/>
        <v/>
      </c>
      <c r="C48" s="473">
        <f>IF(D11="","-",+C47+1)</f>
        <v>2051</v>
      </c>
      <c r="D48" s="484">
        <f>IF(F47+SUM(E$17:E47)=D$10,F47,D$10-SUM(E$17:E47))</f>
        <v>689279.43521594733</v>
      </c>
      <c r="E48" s="485">
        <f t="shared" si="4"/>
        <v>54557.20930232558</v>
      </c>
      <c r="F48" s="486">
        <f t="shared" si="5"/>
        <v>634722.22591362172</v>
      </c>
      <c r="G48" s="487">
        <f t="shared" si="6"/>
        <v>130724.59880407996</v>
      </c>
      <c r="H48" s="456">
        <f t="shared" si="7"/>
        <v>130724.59880407996</v>
      </c>
      <c r="I48" s="476">
        <f t="shared" si="8"/>
        <v>0</v>
      </c>
      <c r="J48" s="476"/>
      <c r="K48" s="488"/>
      <c r="L48" s="479">
        <f t="shared" si="3"/>
        <v>0</v>
      </c>
      <c r="M48" s="488"/>
      <c r="N48" s="479">
        <f t="shared" si="1"/>
        <v>0</v>
      </c>
      <c r="O48" s="479">
        <f t="shared" si="2"/>
        <v>0</v>
      </c>
      <c r="P48" s="243"/>
    </row>
    <row r="49" spans="2:16" ht="12.5">
      <c r="B49" s="160" t="str">
        <f t="shared" si="9"/>
        <v/>
      </c>
      <c r="C49" s="473">
        <f>IF(D11="","-",+C48+1)</f>
        <v>2052</v>
      </c>
      <c r="D49" s="484">
        <f>IF(F48+SUM(E$17:E48)=D$10,F48,D$10-SUM(E$17:E48))</f>
        <v>634722.22591362172</v>
      </c>
      <c r="E49" s="485">
        <f t="shared" si="4"/>
        <v>54557.20930232558</v>
      </c>
      <c r="F49" s="486">
        <f t="shared" si="5"/>
        <v>580165.0166112961</v>
      </c>
      <c r="G49" s="487">
        <f t="shared" si="6"/>
        <v>124447.44623991512</v>
      </c>
      <c r="H49" s="456">
        <f t="shared" si="7"/>
        <v>124447.44623991512</v>
      </c>
      <c r="I49" s="476">
        <f t="shared" si="8"/>
        <v>0</v>
      </c>
      <c r="J49" s="476"/>
      <c r="K49" s="488"/>
      <c r="L49" s="479">
        <f t="shared" si="3"/>
        <v>0</v>
      </c>
      <c r="M49" s="488"/>
      <c r="N49" s="479">
        <f t="shared" si="1"/>
        <v>0</v>
      </c>
      <c r="O49" s="479">
        <f t="shared" si="2"/>
        <v>0</v>
      </c>
      <c r="P49" s="243"/>
    </row>
    <row r="50" spans="2:16" ht="12.5">
      <c r="B50" s="160" t="str">
        <f t="shared" si="9"/>
        <v/>
      </c>
      <c r="C50" s="473">
        <f>IF(D11="","-",+C49+1)</f>
        <v>2053</v>
      </c>
      <c r="D50" s="484">
        <f>IF(F49+SUM(E$17:E49)=D$10,F49,D$10-SUM(E$17:E49))</f>
        <v>580165.0166112961</v>
      </c>
      <c r="E50" s="485">
        <f t="shared" si="4"/>
        <v>54557.20930232558</v>
      </c>
      <c r="F50" s="486">
        <f t="shared" si="5"/>
        <v>525607.80730897048</v>
      </c>
      <c r="G50" s="487">
        <f t="shared" si="6"/>
        <v>118170.29367575032</v>
      </c>
      <c r="H50" s="456">
        <f t="shared" si="7"/>
        <v>118170.29367575032</v>
      </c>
      <c r="I50" s="476">
        <f t="shared" si="8"/>
        <v>0</v>
      </c>
      <c r="J50" s="476"/>
      <c r="K50" s="488"/>
      <c r="L50" s="479">
        <f t="shared" si="3"/>
        <v>0</v>
      </c>
      <c r="M50" s="488"/>
      <c r="N50" s="479">
        <f t="shared" si="1"/>
        <v>0</v>
      </c>
      <c r="O50" s="479">
        <f t="shared" si="2"/>
        <v>0</v>
      </c>
      <c r="P50" s="243"/>
    </row>
    <row r="51" spans="2:16" ht="12.5">
      <c r="B51" s="160" t="str">
        <f t="shared" si="9"/>
        <v/>
      </c>
      <c r="C51" s="473">
        <f>IF(D11="","-",+C50+1)</f>
        <v>2054</v>
      </c>
      <c r="D51" s="484">
        <f>IF(F50+SUM(E$17:E50)=D$10,F50,D$10-SUM(E$17:E50))</f>
        <v>525607.80730897048</v>
      </c>
      <c r="E51" s="485">
        <f t="shared" si="4"/>
        <v>54557.20930232558</v>
      </c>
      <c r="F51" s="486">
        <f t="shared" si="5"/>
        <v>471050.59800664493</v>
      </c>
      <c r="G51" s="487">
        <f t="shared" si="6"/>
        <v>111893.14111158552</v>
      </c>
      <c r="H51" s="456">
        <f t="shared" si="7"/>
        <v>111893.14111158552</v>
      </c>
      <c r="I51" s="476">
        <f t="shared" si="8"/>
        <v>0</v>
      </c>
      <c r="J51" s="476"/>
      <c r="K51" s="488"/>
      <c r="L51" s="479">
        <f t="shared" si="3"/>
        <v>0</v>
      </c>
      <c r="M51" s="488"/>
      <c r="N51" s="479">
        <f t="shared" si="1"/>
        <v>0</v>
      </c>
      <c r="O51" s="479">
        <f t="shared" si="2"/>
        <v>0</v>
      </c>
      <c r="P51" s="243"/>
    </row>
    <row r="52" spans="2:16" ht="12.5">
      <c r="B52" s="160" t="str">
        <f t="shared" si="9"/>
        <v/>
      </c>
      <c r="C52" s="473">
        <f>IF(D11="","-",+C51+1)</f>
        <v>2055</v>
      </c>
      <c r="D52" s="484">
        <f>IF(F51+SUM(E$17:E51)=D$10,F51,D$10-SUM(E$17:E51))</f>
        <v>471050.59800664493</v>
      </c>
      <c r="E52" s="485">
        <f t="shared" si="4"/>
        <v>54557.20930232558</v>
      </c>
      <c r="F52" s="486">
        <f t="shared" si="5"/>
        <v>416493.38870431937</v>
      </c>
      <c r="G52" s="487">
        <f t="shared" si="6"/>
        <v>105615.98854742071</v>
      </c>
      <c r="H52" s="456">
        <f t="shared" si="7"/>
        <v>105615.98854742071</v>
      </c>
      <c r="I52" s="476">
        <f t="shared" si="8"/>
        <v>0</v>
      </c>
      <c r="J52" s="476"/>
      <c r="K52" s="488"/>
      <c r="L52" s="479">
        <f t="shared" si="3"/>
        <v>0</v>
      </c>
      <c r="M52" s="488"/>
      <c r="N52" s="479">
        <f t="shared" si="1"/>
        <v>0</v>
      </c>
      <c r="O52" s="479">
        <f t="shared" si="2"/>
        <v>0</v>
      </c>
      <c r="P52" s="243"/>
    </row>
    <row r="53" spans="2:16" ht="12.5">
      <c r="B53" s="160" t="str">
        <f t="shared" si="9"/>
        <v/>
      </c>
      <c r="C53" s="473">
        <f>IF(D11="","-",+C52+1)</f>
        <v>2056</v>
      </c>
      <c r="D53" s="484">
        <f>IF(F52+SUM(E$17:E52)=D$10,F52,D$10-SUM(E$17:E52))</f>
        <v>416493.38870431937</v>
      </c>
      <c r="E53" s="485">
        <f t="shared" si="4"/>
        <v>54557.20930232558</v>
      </c>
      <c r="F53" s="486">
        <f t="shared" si="5"/>
        <v>361936.17940199381</v>
      </c>
      <c r="G53" s="487">
        <f t="shared" si="6"/>
        <v>99338.835983255907</v>
      </c>
      <c r="H53" s="456">
        <f t="shared" si="7"/>
        <v>99338.835983255907</v>
      </c>
      <c r="I53" s="476">
        <f t="shared" si="8"/>
        <v>0</v>
      </c>
      <c r="J53" s="476"/>
      <c r="K53" s="488"/>
      <c r="L53" s="479">
        <f t="shared" si="3"/>
        <v>0</v>
      </c>
      <c r="M53" s="488"/>
      <c r="N53" s="479">
        <f t="shared" si="1"/>
        <v>0</v>
      </c>
      <c r="O53" s="479">
        <f t="shared" si="2"/>
        <v>0</v>
      </c>
      <c r="P53" s="243"/>
    </row>
    <row r="54" spans="2:16" ht="12.5">
      <c r="B54" s="160" t="str">
        <f t="shared" si="9"/>
        <v/>
      </c>
      <c r="C54" s="473">
        <f>IF(D11="","-",+C53+1)</f>
        <v>2057</v>
      </c>
      <c r="D54" s="484">
        <f>IF(F53+SUM(E$17:E53)=D$10,F53,D$10-SUM(E$17:E53))</f>
        <v>361936.17940199381</v>
      </c>
      <c r="E54" s="485">
        <f t="shared" si="4"/>
        <v>54557.20930232558</v>
      </c>
      <c r="F54" s="486">
        <f t="shared" si="5"/>
        <v>307378.97009966825</v>
      </c>
      <c r="G54" s="487">
        <f t="shared" si="6"/>
        <v>93061.683419091103</v>
      </c>
      <c r="H54" s="456">
        <f t="shared" si="7"/>
        <v>93061.683419091103</v>
      </c>
      <c r="I54" s="476">
        <f t="shared" si="8"/>
        <v>0</v>
      </c>
      <c r="J54" s="476"/>
      <c r="K54" s="488"/>
      <c r="L54" s="479">
        <f t="shared" si="3"/>
        <v>0</v>
      </c>
      <c r="M54" s="488"/>
      <c r="N54" s="479">
        <f t="shared" si="1"/>
        <v>0</v>
      </c>
      <c r="O54" s="479">
        <f t="shared" si="2"/>
        <v>0</v>
      </c>
      <c r="P54" s="243"/>
    </row>
    <row r="55" spans="2:16" ht="12.5">
      <c r="B55" s="160" t="str">
        <f t="shared" si="9"/>
        <v/>
      </c>
      <c r="C55" s="473">
        <f>IF(D11="","-",+C54+1)</f>
        <v>2058</v>
      </c>
      <c r="D55" s="484">
        <f>IF(F54+SUM(E$17:E54)=D$10,F54,D$10-SUM(E$17:E54))</f>
        <v>307378.97009966825</v>
      </c>
      <c r="E55" s="485">
        <f t="shared" si="4"/>
        <v>54557.20930232558</v>
      </c>
      <c r="F55" s="486">
        <f t="shared" si="5"/>
        <v>252821.76079734266</v>
      </c>
      <c r="G55" s="487">
        <f t="shared" si="6"/>
        <v>86784.530854926299</v>
      </c>
      <c r="H55" s="456">
        <f t="shared" si="7"/>
        <v>86784.530854926299</v>
      </c>
      <c r="I55" s="476">
        <f t="shared" si="8"/>
        <v>0</v>
      </c>
      <c r="J55" s="476"/>
      <c r="K55" s="488"/>
      <c r="L55" s="479">
        <f t="shared" si="3"/>
        <v>0</v>
      </c>
      <c r="M55" s="488"/>
      <c r="N55" s="479">
        <f t="shared" si="1"/>
        <v>0</v>
      </c>
      <c r="O55" s="479">
        <f t="shared" si="2"/>
        <v>0</v>
      </c>
      <c r="P55" s="243"/>
    </row>
    <row r="56" spans="2:16" ht="12.5">
      <c r="B56" s="160" t="str">
        <f t="shared" si="9"/>
        <v/>
      </c>
      <c r="C56" s="473">
        <f>IF(D11="","-",+C55+1)</f>
        <v>2059</v>
      </c>
      <c r="D56" s="484">
        <f>IF(F55+SUM(E$17:E55)=D$10,F55,D$10-SUM(E$17:E55))</f>
        <v>252821.76079734266</v>
      </c>
      <c r="E56" s="485">
        <f t="shared" si="4"/>
        <v>54557.20930232558</v>
      </c>
      <c r="F56" s="486">
        <f t="shared" si="5"/>
        <v>198264.55149501708</v>
      </c>
      <c r="G56" s="487">
        <f t="shared" si="6"/>
        <v>80507.378290761495</v>
      </c>
      <c r="H56" s="456">
        <f t="shared" si="7"/>
        <v>80507.378290761495</v>
      </c>
      <c r="I56" s="476">
        <f t="shared" si="8"/>
        <v>0</v>
      </c>
      <c r="J56" s="476"/>
      <c r="K56" s="488"/>
      <c r="L56" s="479">
        <f t="shared" si="3"/>
        <v>0</v>
      </c>
      <c r="M56" s="488"/>
      <c r="N56" s="479">
        <f t="shared" si="1"/>
        <v>0</v>
      </c>
      <c r="O56" s="479">
        <f t="shared" si="2"/>
        <v>0</v>
      </c>
      <c r="P56" s="243"/>
    </row>
    <row r="57" spans="2:16" ht="12.5">
      <c r="B57" s="160" t="str">
        <f t="shared" si="9"/>
        <v/>
      </c>
      <c r="C57" s="473">
        <f>IF(D11="","-",+C56+1)</f>
        <v>2060</v>
      </c>
      <c r="D57" s="484">
        <f>IF(F56+SUM(E$17:E56)=D$10,F56,D$10-SUM(E$17:E56))</f>
        <v>198264.55149501708</v>
      </c>
      <c r="E57" s="485">
        <f t="shared" si="4"/>
        <v>54557.20930232558</v>
      </c>
      <c r="F57" s="486">
        <f t="shared" si="5"/>
        <v>143707.34219269149</v>
      </c>
      <c r="G57" s="487">
        <f t="shared" si="6"/>
        <v>74230.225726596676</v>
      </c>
      <c r="H57" s="456">
        <f t="shared" si="7"/>
        <v>74230.225726596676</v>
      </c>
      <c r="I57" s="476">
        <f t="shared" si="8"/>
        <v>0</v>
      </c>
      <c r="J57" s="476"/>
      <c r="K57" s="488"/>
      <c r="L57" s="479">
        <f t="shared" si="3"/>
        <v>0</v>
      </c>
      <c r="M57" s="488"/>
      <c r="N57" s="479">
        <f t="shared" si="1"/>
        <v>0</v>
      </c>
      <c r="O57" s="479">
        <f t="shared" si="2"/>
        <v>0</v>
      </c>
      <c r="P57" s="243"/>
    </row>
    <row r="58" spans="2:16" ht="12.5">
      <c r="B58" s="160" t="str">
        <f t="shared" si="9"/>
        <v/>
      </c>
      <c r="C58" s="473">
        <f>IF(D11="","-",+C57+1)</f>
        <v>2061</v>
      </c>
      <c r="D58" s="484">
        <f>IF(F57+SUM(E$17:E57)=D$10,F57,D$10-SUM(E$17:E57))</f>
        <v>143707.34219269149</v>
      </c>
      <c r="E58" s="485">
        <f t="shared" si="4"/>
        <v>54557.20930232558</v>
      </c>
      <c r="F58" s="486">
        <f t="shared" si="5"/>
        <v>89150.132890365901</v>
      </c>
      <c r="G58" s="487">
        <f t="shared" si="6"/>
        <v>67953.073162431872</v>
      </c>
      <c r="H58" s="456">
        <f t="shared" si="7"/>
        <v>67953.073162431872</v>
      </c>
      <c r="I58" s="476">
        <f t="shared" si="8"/>
        <v>0</v>
      </c>
      <c r="J58" s="476"/>
      <c r="K58" s="488"/>
      <c r="L58" s="479">
        <f t="shared" si="3"/>
        <v>0</v>
      </c>
      <c r="M58" s="488"/>
      <c r="N58" s="479">
        <f t="shared" si="1"/>
        <v>0</v>
      </c>
      <c r="O58" s="479">
        <f t="shared" si="2"/>
        <v>0</v>
      </c>
      <c r="P58" s="243"/>
    </row>
    <row r="59" spans="2:16" ht="12.5">
      <c r="B59" s="160" t="str">
        <f t="shared" si="9"/>
        <v/>
      </c>
      <c r="C59" s="473">
        <f>IF(D11="","-",+C58+1)</f>
        <v>2062</v>
      </c>
      <c r="D59" s="484">
        <f>IF(F58+SUM(E$17:E58)=D$10,F58,D$10-SUM(E$17:E58))</f>
        <v>89150.132890365901</v>
      </c>
      <c r="E59" s="485">
        <f t="shared" si="4"/>
        <v>54557.20930232558</v>
      </c>
      <c r="F59" s="486">
        <f t="shared" si="5"/>
        <v>34592.923588040321</v>
      </c>
      <c r="G59" s="487">
        <f t="shared" si="6"/>
        <v>61675.920598267068</v>
      </c>
      <c r="H59" s="456">
        <f t="shared" si="7"/>
        <v>61675.920598267068</v>
      </c>
      <c r="I59" s="476">
        <f t="shared" si="8"/>
        <v>0</v>
      </c>
      <c r="J59" s="476"/>
      <c r="K59" s="488"/>
      <c r="L59" s="479">
        <f t="shared" si="3"/>
        <v>0</v>
      </c>
      <c r="M59" s="488"/>
      <c r="N59" s="479">
        <f t="shared" si="1"/>
        <v>0</v>
      </c>
      <c r="O59" s="479">
        <f t="shared" si="2"/>
        <v>0</v>
      </c>
      <c r="P59" s="243"/>
    </row>
    <row r="60" spans="2:16" ht="12.5">
      <c r="B60" s="160" t="str">
        <f t="shared" si="9"/>
        <v/>
      </c>
      <c r="C60" s="473">
        <f>IF(D11="","-",+C59+1)</f>
        <v>2063</v>
      </c>
      <c r="D60" s="484">
        <f>IF(F59+SUM(E$17:E59)=D$10,F59,D$10-SUM(E$17:E59))</f>
        <v>34592.923588040321</v>
      </c>
      <c r="E60" s="485">
        <f t="shared" si="4"/>
        <v>34592.923588040321</v>
      </c>
      <c r="F60" s="486">
        <f t="shared" si="5"/>
        <v>0</v>
      </c>
      <c r="G60" s="487">
        <f t="shared" si="6"/>
        <v>36582.991094969861</v>
      </c>
      <c r="H60" s="456">
        <f t="shared" si="7"/>
        <v>36582.991094969861</v>
      </c>
      <c r="I60" s="476">
        <f t="shared" si="8"/>
        <v>0</v>
      </c>
      <c r="J60" s="476"/>
      <c r="K60" s="488"/>
      <c r="L60" s="479">
        <f t="shared" si="3"/>
        <v>0</v>
      </c>
      <c r="M60" s="488"/>
      <c r="N60" s="479">
        <f t="shared" si="1"/>
        <v>0</v>
      </c>
      <c r="O60" s="479">
        <f t="shared" si="2"/>
        <v>0</v>
      </c>
      <c r="P60" s="243"/>
    </row>
    <row r="61" spans="2:16" ht="12.5">
      <c r="B61" s="160" t="str">
        <f t="shared" si="9"/>
        <v/>
      </c>
      <c r="C61" s="473">
        <f>IF(D11="","-",+C60+1)</f>
        <v>2064</v>
      </c>
      <c r="D61" s="484">
        <f>IF(F60+SUM(E$17:E60)=D$10,F60,D$10-SUM(E$17:E60))</f>
        <v>0</v>
      </c>
      <c r="E61" s="485">
        <f t="shared" si="4"/>
        <v>0</v>
      </c>
      <c r="F61" s="486">
        <f t="shared" si="5"/>
        <v>0</v>
      </c>
      <c r="G61" s="487">
        <f t="shared" si="6"/>
        <v>0</v>
      </c>
      <c r="H61" s="456">
        <f t="shared" si="7"/>
        <v>0</v>
      </c>
      <c r="I61" s="476">
        <f t="shared" si="8"/>
        <v>0</v>
      </c>
      <c r="J61" s="476"/>
      <c r="K61" s="488"/>
      <c r="L61" s="479">
        <f t="shared" si="3"/>
        <v>0</v>
      </c>
      <c r="M61" s="488"/>
      <c r="N61" s="479">
        <f t="shared" si="1"/>
        <v>0</v>
      </c>
      <c r="O61" s="479">
        <f t="shared" si="2"/>
        <v>0</v>
      </c>
      <c r="P61" s="243"/>
    </row>
    <row r="62" spans="2:16" ht="12.5">
      <c r="B62" s="160" t="str">
        <f t="shared" si="9"/>
        <v/>
      </c>
      <c r="C62" s="473">
        <f>IF(D11="","-",+C61+1)</f>
        <v>2065</v>
      </c>
      <c r="D62" s="484">
        <f>IF(F61+SUM(E$17:E61)=D$10,F61,D$10-SUM(E$17:E61))</f>
        <v>0</v>
      </c>
      <c r="E62" s="485">
        <f t="shared" si="4"/>
        <v>0</v>
      </c>
      <c r="F62" s="486">
        <f t="shared" si="5"/>
        <v>0</v>
      </c>
      <c r="G62" s="487">
        <f t="shared" si="6"/>
        <v>0</v>
      </c>
      <c r="H62" s="456">
        <f t="shared" si="7"/>
        <v>0</v>
      </c>
      <c r="I62" s="476">
        <f t="shared" si="8"/>
        <v>0</v>
      </c>
      <c r="J62" s="476"/>
      <c r="K62" s="488"/>
      <c r="L62" s="479">
        <f t="shared" si="3"/>
        <v>0</v>
      </c>
      <c r="M62" s="488"/>
      <c r="N62" s="479">
        <f t="shared" si="1"/>
        <v>0</v>
      </c>
      <c r="O62" s="479">
        <f t="shared" si="2"/>
        <v>0</v>
      </c>
      <c r="P62" s="243"/>
    </row>
    <row r="63" spans="2:16" ht="12.5">
      <c r="B63" s="160" t="str">
        <f t="shared" si="9"/>
        <v/>
      </c>
      <c r="C63" s="473">
        <f>IF(D11="","-",+C62+1)</f>
        <v>2066</v>
      </c>
      <c r="D63" s="484">
        <f>IF(F62+SUM(E$17:E62)=D$10,F62,D$10-SUM(E$17:E62))</f>
        <v>0</v>
      </c>
      <c r="E63" s="485">
        <f t="shared" si="4"/>
        <v>0</v>
      </c>
      <c r="F63" s="486">
        <f t="shared" si="5"/>
        <v>0</v>
      </c>
      <c r="G63" s="487">
        <f t="shared" si="6"/>
        <v>0</v>
      </c>
      <c r="H63" s="456">
        <f t="shared" si="7"/>
        <v>0</v>
      </c>
      <c r="I63" s="476">
        <f t="shared" si="8"/>
        <v>0</v>
      </c>
      <c r="J63" s="476"/>
      <c r="K63" s="488"/>
      <c r="L63" s="479">
        <f t="shared" si="3"/>
        <v>0</v>
      </c>
      <c r="M63" s="488"/>
      <c r="N63" s="479">
        <f t="shared" si="1"/>
        <v>0</v>
      </c>
      <c r="O63" s="479">
        <f t="shared" si="2"/>
        <v>0</v>
      </c>
      <c r="P63" s="243"/>
    </row>
    <row r="64" spans="2:16" ht="12.5">
      <c r="B64" s="160" t="str">
        <f t="shared" si="9"/>
        <v/>
      </c>
      <c r="C64" s="473">
        <f>IF(D11="","-",+C63+1)</f>
        <v>2067</v>
      </c>
      <c r="D64" s="484">
        <f>IF(F63+SUM(E$17:E63)=D$10,F63,D$10-SUM(E$17:E63))</f>
        <v>0</v>
      </c>
      <c r="E64" s="485">
        <f t="shared" si="4"/>
        <v>0</v>
      </c>
      <c r="F64" s="486">
        <f t="shared" si="5"/>
        <v>0</v>
      </c>
      <c r="G64" s="487">
        <f t="shared" si="6"/>
        <v>0</v>
      </c>
      <c r="H64" s="456">
        <f t="shared" si="7"/>
        <v>0</v>
      </c>
      <c r="I64" s="476">
        <f t="shared" si="8"/>
        <v>0</v>
      </c>
      <c r="J64" s="476"/>
      <c r="K64" s="488"/>
      <c r="L64" s="479">
        <f t="shared" si="3"/>
        <v>0</v>
      </c>
      <c r="M64" s="488"/>
      <c r="N64" s="479">
        <f t="shared" si="1"/>
        <v>0</v>
      </c>
      <c r="O64" s="479">
        <f t="shared" si="2"/>
        <v>0</v>
      </c>
      <c r="P64" s="243"/>
    </row>
    <row r="65" spans="2:16" ht="12.5">
      <c r="B65" s="160" t="str">
        <f t="shared" si="9"/>
        <v/>
      </c>
      <c r="C65" s="473">
        <f>IF(D11="","-",+C64+1)</f>
        <v>2068</v>
      </c>
      <c r="D65" s="484">
        <f>IF(F64+SUM(E$17:E64)=D$10,F64,D$10-SUM(E$17:E64))</f>
        <v>0</v>
      </c>
      <c r="E65" s="485">
        <f t="shared" si="4"/>
        <v>0</v>
      </c>
      <c r="F65" s="486">
        <f t="shared" si="5"/>
        <v>0</v>
      </c>
      <c r="G65" s="487">
        <f t="shared" si="6"/>
        <v>0</v>
      </c>
      <c r="H65" s="456">
        <f t="shared" si="7"/>
        <v>0</v>
      </c>
      <c r="I65" s="476">
        <f t="shared" si="8"/>
        <v>0</v>
      </c>
      <c r="J65" s="476"/>
      <c r="K65" s="488"/>
      <c r="L65" s="479">
        <f t="shared" si="3"/>
        <v>0</v>
      </c>
      <c r="M65" s="488"/>
      <c r="N65" s="479">
        <f t="shared" si="1"/>
        <v>0</v>
      </c>
      <c r="O65" s="479">
        <f t="shared" si="2"/>
        <v>0</v>
      </c>
      <c r="P65" s="243"/>
    </row>
    <row r="66" spans="2:16" ht="12.5">
      <c r="B66" s="160" t="str">
        <f t="shared" si="9"/>
        <v/>
      </c>
      <c r="C66" s="473">
        <f>IF(D11="","-",+C65+1)</f>
        <v>2069</v>
      </c>
      <c r="D66" s="484">
        <f>IF(F65+SUM(E$17:E65)=D$10,F65,D$10-SUM(E$17:E65))</f>
        <v>0</v>
      </c>
      <c r="E66" s="485">
        <f t="shared" si="4"/>
        <v>0</v>
      </c>
      <c r="F66" s="486">
        <f t="shared" si="5"/>
        <v>0</v>
      </c>
      <c r="G66" s="487">
        <f t="shared" si="6"/>
        <v>0</v>
      </c>
      <c r="H66" s="456">
        <f t="shared" si="7"/>
        <v>0</v>
      </c>
      <c r="I66" s="476">
        <f t="shared" si="8"/>
        <v>0</v>
      </c>
      <c r="J66" s="476"/>
      <c r="K66" s="488"/>
      <c r="L66" s="479">
        <f t="shared" si="3"/>
        <v>0</v>
      </c>
      <c r="M66" s="488"/>
      <c r="N66" s="479">
        <f t="shared" si="1"/>
        <v>0</v>
      </c>
      <c r="O66" s="479">
        <f t="shared" si="2"/>
        <v>0</v>
      </c>
      <c r="P66" s="243"/>
    </row>
    <row r="67" spans="2:16" ht="12.5">
      <c r="B67" s="160" t="str">
        <f t="shared" si="9"/>
        <v/>
      </c>
      <c r="C67" s="473">
        <f>IF(D11="","-",+C66+1)</f>
        <v>2070</v>
      </c>
      <c r="D67" s="484">
        <f>IF(F66+SUM(E$17:E66)=D$10,F66,D$10-SUM(E$17:E66))</f>
        <v>0</v>
      </c>
      <c r="E67" s="485">
        <f t="shared" si="4"/>
        <v>0</v>
      </c>
      <c r="F67" s="486">
        <f t="shared" si="5"/>
        <v>0</v>
      </c>
      <c r="G67" s="487">
        <f t="shared" si="6"/>
        <v>0</v>
      </c>
      <c r="H67" s="456">
        <f t="shared" si="7"/>
        <v>0</v>
      </c>
      <c r="I67" s="476">
        <f t="shared" si="8"/>
        <v>0</v>
      </c>
      <c r="J67" s="476"/>
      <c r="K67" s="488"/>
      <c r="L67" s="479">
        <f t="shared" si="3"/>
        <v>0</v>
      </c>
      <c r="M67" s="488"/>
      <c r="N67" s="479">
        <f t="shared" si="1"/>
        <v>0</v>
      </c>
      <c r="O67" s="479">
        <f t="shared" si="2"/>
        <v>0</v>
      </c>
      <c r="P67" s="243"/>
    </row>
    <row r="68" spans="2:16" ht="12.5">
      <c r="B68" s="160" t="str">
        <f t="shared" si="9"/>
        <v/>
      </c>
      <c r="C68" s="473">
        <f>IF(D11="","-",+C67+1)</f>
        <v>2071</v>
      </c>
      <c r="D68" s="484">
        <f>IF(F67+SUM(E$17:E67)=D$10,F67,D$10-SUM(E$17:E67))</f>
        <v>0</v>
      </c>
      <c r="E68" s="485">
        <f t="shared" si="4"/>
        <v>0</v>
      </c>
      <c r="F68" s="486">
        <f t="shared" si="5"/>
        <v>0</v>
      </c>
      <c r="G68" s="487">
        <f t="shared" si="6"/>
        <v>0</v>
      </c>
      <c r="H68" s="456">
        <f t="shared" si="7"/>
        <v>0</v>
      </c>
      <c r="I68" s="476">
        <f t="shared" si="8"/>
        <v>0</v>
      </c>
      <c r="J68" s="476"/>
      <c r="K68" s="488"/>
      <c r="L68" s="479">
        <f t="shared" si="3"/>
        <v>0</v>
      </c>
      <c r="M68" s="488"/>
      <c r="N68" s="479">
        <f t="shared" si="1"/>
        <v>0</v>
      </c>
      <c r="O68" s="479">
        <f t="shared" si="2"/>
        <v>0</v>
      </c>
      <c r="P68" s="243"/>
    </row>
    <row r="69" spans="2:16" ht="12.5">
      <c r="B69" s="160" t="str">
        <f t="shared" si="9"/>
        <v/>
      </c>
      <c r="C69" s="473">
        <f>IF(D11="","-",+C68+1)</f>
        <v>2072</v>
      </c>
      <c r="D69" s="484">
        <f>IF(F68+SUM(E$17:E68)=D$10,F68,D$10-SUM(E$17:E68))</f>
        <v>0</v>
      </c>
      <c r="E69" s="485">
        <f t="shared" si="4"/>
        <v>0</v>
      </c>
      <c r="F69" s="486">
        <f t="shared" si="5"/>
        <v>0</v>
      </c>
      <c r="G69" s="487">
        <f t="shared" si="6"/>
        <v>0</v>
      </c>
      <c r="H69" s="456">
        <f t="shared" si="7"/>
        <v>0</v>
      </c>
      <c r="I69" s="476">
        <f t="shared" si="8"/>
        <v>0</v>
      </c>
      <c r="J69" s="476"/>
      <c r="K69" s="488"/>
      <c r="L69" s="479">
        <f t="shared" si="3"/>
        <v>0</v>
      </c>
      <c r="M69" s="488"/>
      <c r="N69" s="479">
        <f t="shared" si="1"/>
        <v>0</v>
      </c>
      <c r="O69" s="479">
        <f t="shared" si="2"/>
        <v>0</v>
      </c>
      <c r="P69" s="243"/>
    </row>
    <row r="70" spans="2:16" ht="12.5">
      <c r="B70" s="160" t="str">
        <f t="shared" si="9"/>
        <v/>
      </c>
      <c r="C70" s="473">
        <f>IF(D11="","-",+C69+1)</f>
        <v>2073</v>
      </c>
      <c r="D70" s="484">
        <f>IF(F69+SUM(E$17:E69)=D$10,F69,D$10-SUM(E$17:E69))</f>
        <v>0</v>
      </c>
      <c r="E70" s="485">
        <f t="shared" si="4"/>
        <v>0</v>
      </c>
      <c r="F70" s="486">
        <f t="shared" si="5"/>
        <v>0</v>
      </c>
      <c r="G70" s="487">
        <f t="shared" si="6"/>
        <v>0</v>
      </c>
      <c r="H70" s="456">
        <f t="shared" si="7"/>
        <v>0</v>
      </c>
      <c r="I70" s="476">
        <f t="shared" si="8"/>
        <v>0</v>
      </c>
      <c r="J70" s="476"/>
      <c r="K70" s="488"/>
      <c r="L70" s="479">
        <f t="shared" si="3"/>
        <v>0</v>
      </c>
      <c r="M70" s="488"/>
      <c r="N70" s="479">
        <f t="shared" si="1"/>
        <v>0</v>
      </c>
      <c r="O70" s="479">
        <f t="shared" si="2"/>
        <v>0</v>
      </c>
      <c r="P70" s="243"/>
    </row>
    <row r="71" spans="2:16" ht="12.5">
      <c r="B71" s="160" t="str">
        <f t="shared" si="9"/>
        <v/>
      </c>
      <c r="C71" s="473">
        <f>IF(D11="","-",+C70+1)</f>
        <v>2074</v>
      </c>
      <c r="D71" s="484">
        <f>IF(F70+SUM(E$17:E70)=D$10,F70,D$10-SUM(E$17:E70))</f>
        <v>0</v>
      </c>
      <c r="E71" s="485">
        <f t="shared" si="4"/>
        <v>0</v>
      </c>
      <c r="F71" s="486">
        <f t="shared" si="5"/>
        <v>0</v>
      </c>
      <c r="G71" s="487">
        <f t="shared" si="6"/>
        <v>0</v>
      </c>
      <c r="H71" s="456">
        <f t="shared" si="7"/>
        <v>0</v>
      </c>
      <c r="I71" s="476">
        <f t="shared" si="8"/>
        <v>0</v>
      </c>
      <c r="J71" s="476"/>
      <c r="K71" s="488"/>
      <c r="L71" s="479">
        <f t="shared" si="3"/>
        <v>0</v>
      </c>
      <c r="M71" s="488"/>
      <c r="N71" s="479">
        <f t="shared" si="1"/>
        <v>0</v>
      </c>
      <c r="O71" s="479">
        <f t="shared" si="2"/>
        <v>0</v>
      </c>
      <c r="P71" s="243"/>
    </row>
    <row r="72" spans="2:16" ht="13" thickBot="1">
      <c r="B72" s="160" t="str">
        <f t="shared" si="9"/>
        <v/>
      </c>
      <c r="C72" s="490">
        <f>IF(D11="","-",+C71+1)</f>
        <v>2075</v>
      </c>
      <c r="D72" s="613">
        <f>IF(F71+SUM(E$17:E71)=D$10,F71,D$10-SUM(E$17:E71))</f>
        <v>0</v>
      </c>
      <c r="E72" s="492">
        <f>IF(+I$14&lt;F71,I$14,D72)</f>
        <v>0</v>
      </c>
      <c r="F72" s="491">
        <f>+D72-E72</f>
        <v>0</v>
      </c>
      <c r="G72" s="545">
        <f>(D72+F72)/2*I$12+E72</f>
        <v>0</v>
      </c>
      <c r="H72" s="436">
        <f>+(D72+F72)/2*I$13+E72</f>
        <v>0</v>
      </c>
      <c r="I72" s="494">
        <f>H72-G72</f>
        <v>0</v>
      </c>
      <c r="J72" s="476"/>
      <c r="K72" s="495"/>
      <c r="L72" s="496">
        <f t="shared" si="3"/>
        <v>0</v>
      </c>
      <c r="M72" s="495"/>
      <c r="N72" s="496">
        <f t="shared" si="1"/>
        <v>0</v>
      </c>
      <c r="O72" s="496">
        <f t="shared" si="2"/>
        <v>0</v>
      </c>
      <c r="P72" s="243"/>
    </row>
    <row r="73" spans="2:16" ht="12.5">
      <c r="C73" s="347" t="s">
        <v>77</v>
      </c>
      <c r="D73" s="348"/>
      <c r="E73" s="348">
        <f>SUM(E17:E72)</f>
        <v>2345959.9999999995</v>
      </c>
      <c r="F73" s="348"/>
      <c r="G73" s="348">
        <f>SUM(G17:G72)</f>
        <v>8141048.1860089954</v>
      </c>
      <c r="H73" s="348">
        <f>SUM(H17:H72)</f>
        <v>8141048.1860089954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17" t="str">
        <f ca="1">P1</f>
        <v>PSO Project 28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109448.17204091245</v>
      </c>
      <c r="N87" s="509">
        <f>IF(J92&lt;D11,0,VLOOKUP(J92,C17:O72,11))</f>
        <v>109448.17204091245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145816.89418304947</v>
      </c>
      <c r="N88" s="513">
        <f>IF(J92&lt;D11,0,VLOOKUP(J92,C99:P154,7))</f>
        <v>145816.89418304947</v>
      </c>
      <c r="O88" s="514">
        <f>+N88-M88</f>
        <v>0</v>
      </c>
      <c r="P88" s="233"/>
    </row>
    <row r="89" spans="1:16" ht="13.5" thickBot="1">
      <c r="C89" s="432" t="s">
        <v>92</v>
      </c>
      <c r="D89" s="515"/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36368.72214213702</v>
      </c>
      <c r="N89" s="518">
        <f>+N88-N87</f>
        <v>36368.72214213702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/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527">
        <v>2529408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v>2020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v>6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58823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4" t="s">
        <v>102</v>
      </c>
      <c r="M97" s="464" t="s">
        <v>99</v>
      </c>
      <c r="N97" s="464" t="s">
        <v>102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2020</v>
      </c>
      <c r="D99" s="347">
        <v>0</v>
      </c>
      <c r="E99" s="487">
        <f>IF(OR(D11=I10,D92&lt;100000),0,J$96/12*(12-D94))</f>
        <v>0</v>
      </c>
      <c r="F99" s="486">
        <f>IF(D93=C99,+D92-E99,+D99-E99)</f>
        <v>2529408</v>
      </c>
      <c r="G99" s="616">
        <f>+(F99+D99)/2</f>
        <v>1264704</v>
      </c>
      <c r="H99" s="616">
        <f>+J$94*G99+E99</f>
        <v>145816.89418304947</v>
      </c>
      <c r="I99" s="616">
        <f>+J$95*G99+E99</f>
        <v>145816.89418304947</v>
      </c>
      <c r="J99" s="479">
        <f>+I99-H99</f>
        <v>0</v>
      </c>
      <c r="K99" s="479"/>
      <c r="L99" s="617"/>
      <c r="M99" s="478">
        <f t="shared" ref="M99:M130" si="10">IF(L99&lt;&gt;0,+H99-L99,0)</f>
        <v>0</v>
      </c>
      <c r="N99" s="617"/>
      <c r="O99" s="478">
        <f t="shared" ref="O99:O130" si="11">IF(N99&lt;&gt;0,+I99-N99,0)</f>
        <v>0</v>
      </c>
      <c r="P99" s="478">
        <f t="shared" ref="P99:P130" si="12">+O99-M99</f>
        <v>0</v>
      </c>
    </row>
    <row r="100" spans="1:16" ht="12.5">
      <c r="B100" s="160" t="str">
        <f>IF(D100=F99,"","IU")</f>
        <v/>
      </c>
      <c r="C100" s="473">
        <f>IF(D93="","-",+C99+1)</f>
        <v>2021</v>
      </c>
      <c r="D100" s="347">
        <f>IF(F99+SUM(E$99:E99)=D$92,F99,D$92-SUM(E$99:E99))</f>
        <v>2529408</v>
      </c>
      <c r="E100" s="485">
        <f>IF(+J$96&lt;F99,J$96,D100)</f>
        <v>58823</v>
      </c>
      <c r="F100" s="486">
        <f>+D100-E100</f>
        <v>2470585</v>
      </c>
      <c r="G100" s="486">
        <f>+(F100+D100)/2</f>
        <v>2499996.5</v>
      </c>
      <c r="H100" s="487">
        <f>(D100+F100)/2*J$94+E100</f>
        <v>347065.72327635088</v>
      </c>
      <c r="I100" s="543">
        <f t="shared" ref="I100" si="13">+J$95*G100+E100</f>
        <v>347065.72327635088</v>
      </c>
      <c r="J100" s="479">
        <f t="shared" ref="J100:J130" si="14">+I100-H100</f>
        <v>0</v>
      </c>
      <c r="K100" s="479"/>
      <c r="L100" s="488"/>
      <c r="M100" s="479">
        <f t="shared" si="10"/>
        <v>0</v>
      </c>
      <c r="N100" s="488"/>
      <c r="O100" s="479">
        <f t="shared" si="11"/>
        <v>0</v>
      </c>
      <c r="P100" s="479">
        <f t="shared" si="12"/>
        <v>0</v>
      </c>
    </row>
    <row r="101" spans="1:16" ht="12.5">
      <c r="B101" s="160" t="str">
        <f t="shared" ref="B101:B154" si="15">IF(D101=F100,"","IU")</f>
        <v/>
      </c>
      <c r="C101" s="473">
        <f>IF(D93="","-",+C100+1)</f>
        <v>2022</v>
      </c>
      <c r="D101" s="347">
        <f>IF(F100+SUM(E$99:E100)=D$92,F100,D$92-SUM(E$99:E100))</f>
        <v>2470585</v>
      </c>
      <c r="E101" s="485">
        <f t="shared" ref="E101:E154" si="16">IF(+J$96&lt;F100,J$96,D101)</f>
        <v>58823</v>
      </c>
      <c r="F101" s="486">
        <f t="shared" ref="F101:F154" si="17">+D101-E101</f>
        <v>2411762</v>
      </c>
      <c r="G101" s="486">
        <f t="shared" ref="G101:G154" si="18">+(F101+D101)/2</f>
        <v>2441173.5</v>
      </c>
      <c r="H101" s="487">
        <f t="shared" ref="H101:H153" si="19">(D101+F101)/2*J$94+E101</f>
        <v>340283.59309685469</v>
      </c>
      <c r="I101" s="543">
        <f t="shared" ref="I101:I153" si="20">+J$95*G101+E101</f>
        <v>340283.59309685469</v>
      </c>
      <c r="J101" s="479">
        <f t="shared" si="14"/>
        <v>0</v>
      </c>
      <c r="K101" s="479"/>
      <c r="L101" s="488"/>
      <c r="M101" s="479">
        <f t="shared" si="10"/>
        <v>0</v>
      </c>
      <c r="N101" s="488"/>
      <c r="O101" s="479">
        <f t="shared" si="11"/>
        <v>0</v>
      </c>
      <c r="P101" s="479">
        <f t="shared" si="12"/>
        <v>0</v>
      </c>
    </row>
    <row r="102" spans="1:16" ht="12.5">
      <c r="B102" s="160" t="str">
        <f t="shared" si="15"/>
        <v/>
      </c>
      <c r="C102" s="473">
        <f>IF(D93="","-",+C101+1)</f>
        <v>2023</v>
      </c>
      <c r="D102" s="347">
        <f>IF(F101+SUM(E$99:E101)=D$92,F101,D$92-SUM(E$99:E101))</f>
        <v>2411762</v>
      </c>
      <c r="E102" s="485">
        <f t="shared" si="16"/>
        <v>58823</v>
      </c>
      <c r="F102" s="486">
        <f t="shared" si="17"/>
        <v>2352939</v>
      </c>
      <c r="G102" s="486">
        <f t="shared" si="18"/>
        <v>2382350.5</v>
      </c>
      <c r="H102" s="487">
        <f t="shared" si="19"/>
        <v>333501.46291735856</v>
      </c>
      <c r="I102" s="543">
        <f t="shared" si="20"/>
        <v>333501.46291735856</v>
      </c>
      <c r="J102" s="479">
        <f t="shared" si="14"/>
        <v>0</v>
      </c>
      <c r="K102" s="479"/>
      <c r="L102" s="488"/>
      <c r="M102" s="479">
        <f t="shared" si="10"/>
        <v>0</v>
      </c>
      <c r="N102" s="488"/>
      <c r="O102" s="479">
        <f t="shared" si="11"/>
        <v>0</v>
      </c>
      <c r="P102" s="479">
        <f t="shared" si="12"/>
        <v>0</v>
      </c>
    </row>
    <row r="103" spans="1:16" ht="12.5">
      <c r="B103" s="160" t="str">
        <f t="shared" si="15"/>
        <v/>
      </c>
      <c r="C103" s="473">
        <f>IF(D93="","-",+C102+1)</f>
        <v>2024</v>
      </c>
      <c r="D103" s="347">
        <f>IF(F102+SUM(E$99:E102)=D$92,F102,D$92-SUM(E$99:E102))</f>
        <v>2352939</v>
      </c>
      <c r="E103" s="485">
        <f t="shared" si="16"/>
        <v>58823</v>
      </c>
      <c r="F103" s="486">
        <f t="shared" si="17"/>
        <v>2294116</v>
      </c>
      <c r="G103" s="486">
        <f t="shared" si="18"/>
        <v>2323527.5</v>
      </c>
      <c r="H103" s="487">
        <f t="shared" si="19"/>
        <v>326719.33273786237</v>
      </c>
      <c r="I103" s="543">
        <f t="shared" si="20"/>
        <v>326719.33273786237</v>
      </c>
      <c r="J103" s="479">
        <f t="shared" si="14"/>
        <v>0</v>
      </c>
      <c r="K103" s="479"/>
      <c r="L103" s="488"/>
      <c r="M103" s="479">
        <f t="shared" si="10"/>
        <v>0</v>
      </c>
      <c r="N103" s="488"/>
      <c r="O103" s="479">
        <f t="shared" si="11"/>
        <v>0</v>
      </c>
      <c r="P103" s="479">
        <f t="shared" si="12"/>
        <v>0</v>
      </c>
    </row>
    <row r="104" spans="1:16" ht="12.5">
      <c r="B104" s="160" t="str">
        <f t="shared" si="15"/>
        <v/>
      </c>
      <c r="C104" s="473">
        <f>IF(D93="","-",+C103+1)</f>
        <v>2025</v>
      </c>
      <c r="D104" s="347">
        <f>IF(F103+SUM(E$99:E103)=D$92,F103,D$92-SUM(E$99:E103))</f>
        <v>2294116</v>
      </c>
      <c r="E104" s="485">
        <f t="shared" si="16"/>
        <v>58823</v>
      </c>
      <c r="F104" s="486">
        <f t="shared" si="17"/>
        <v>2235293</v>
      </c>
      <c r="G104" s="486">
        <f t="shared" si="18"/>
        <v>2264704.5</v>
      </c>
      <c r="H104" s="487">
        <f t="shared" si="19"/>
        <v>319937.20255836623</v>
      </c>
      <c r="I104" s="543">
        <f t="shared" si="20"/>
        <v>319937.20255836623</v>
      </c>
      <c r="J104" s="479">
        <f t="shared" si="14"/>
        <v>0</v>
      </c>
      <c r="K104" s="479"/>
      <c r="L104" s="488"/>
      <c r="M104" s="479">
        <f t="shared" si="10"/>
        <v>0</v>
      </c>
      <c r="N104" s="488"/>
      <c r="O104" s="479">
        <f t="shared" si="11"/>
        <v>0</v>
      </c>
      <c r="P104" s="479">
        <f t="shared" si="12"/>
        <v>0</v>
      </c>
    </row>
    <row r="105" spans="1:16" ht="12.5">
      <c r="B105" s="160" t="str">
        <f t="shared" si="15"/>
        <v/>
      </c>
      <c r="C105" s="473">
        <f>IF(D93="","-",+C104+1)</f>
        <v>2026</v>
      </c>
      <c r="D105" s="347">
        <f>IF(F104+SUM(E$99:E104)=D$92,F104,D$92-SUM(E$99:E104))</f>
        <v>2235293</v>
      </c>
      <c r="E105" s="485">
        <f t="shared" si="16"/>
        <v>58823</v>
      </c>
      <c r="F105" s="486">
        <f t="shared" si="17"/>
        <v>2176470</v>
      </c>
      <c r="G105" s="486">
        <f t="shared" si="18"/>
        <v>2205881.5</v>
      </c>
      <c r="H105" s="487">
        <f t="shared" si="19"/>
        <v>313155.07237887004</v>
      </c>
      <c r="I105" s="543">
        <f t="shared" si="20"/>
        <v>313155.07237887004</v>
      </c>
      <c r="J105" s="479">
        <f t="shared" si="14"/>
        <v>0</v>
      </c>
      <c r="K105" s="479"/>
      <c r="L105" s="488"/>
      <c r="M105" s="479">
        <f t="shared" si="10"/>
        <v>0</v>
      </c>
      <c r="N105" s="488"/>
      <c r="O105" s="479">
        <f t="shared" si="11"/>
        <v>0</v>
      </c>
      <c r="P105" s="479">
        <f t="shared" si="12"/>
        <v>0</v>
      </c>
    </row>
    <row r="106" spans="1:16" ht="12.5">
      <c r="B106" s="160" t="str">
        <f t="shared" si="15"/>
        <v/>
      </c>
      <c r="C106" s="473">
        <f>IF(D93="","-",+C105+1)</f>
        <v>2027</v>
      </c>
      <c r="D106" s="347">
        <f>IF(F105+SUM(E$99:E105)=D$92,F105,D$92-SUM(E$99:E105))</f>
        <v>2176470</v>
      </c>
      <c r="E106" s="485">
        <f t="shared" si="16"/>
        <v>58823</v>
      </c>
      <c r="F106" s="486">
        <f t="shared" si="17"/>
        <v>2117647</v>
      </c>
      <c r="G106" s="486">
        <f t="shared" si="18"/>
        <v>2147058.5</v>
      </c>
      <c r="H106" s="487">
        <f t="shared" si="19"/>
        <v>306372.94219937385</v>
      </c>
      <c r="I106" s="543">
        <f t="shared" si="20"/>
        <v>306372.94219937385</v>
      </c>
      <c r="J106" s="479">
        <f t="shared" si="14"/>
        <v>0</v>
      </c>
      <c r="K106" s="479"/>
      <c r="L106" s="488"/>
      <c r="M106" s="479">
        <f t="shared" si="10"/>
        <v>0</v>
      </c>
      <c r="N106" s="488"/>
      <c r="O106" s="479">
        <f t="shared" si="11"/>
        <v>0</v>
      </c>
      <c r="P106" s="479">
        <f t="shared" si="12"/>
        <v>0</v>
      </c>
    </row>
    <row r="107" spans="1:16" ht="12.5">
      <c r="B107" s="160" t="str">
        <f t="shared" si="15"/>
        <v/>
      </c>
      <c r="C107" s="473">
        <f>IF(D93="","-",+C106+1)</f>
        <v>2028</v>
      </c>
      <c r="D107" s="347">
        <f>IF(F106+SUM(E$99:E106)=D$92,F106,D$92-SUM(E$99:E106))</f>
        <v>2117647</v>
      </c>
      <c r="E107" s="485">
        <f t="shared" si="16"/>
        <v>58823</v>
      </c>
      <c r="F107" s="486">
        <f t="shared" si="17"/>
        <v>2058824</v>
      </c>
      <c r="G107" s="486">
        <f t="shared" si="18"/>
        <v>2088235.5</v>
      </c>
      <c r="H107" s="487">
        <f t="shared" si="19"/>
        <v>299590.81201987772</v>
      </c>
      <c r="I107" s="543">
        <f t="shared" si="20"/>
        <v>299590.81201987772</v>
      </c>
      <c r="J107" s="479">
        <f t="shared" si="14"/>
        <v>0</v>
      </c>
      <c r="K107" s="479"/>
      <c r="L107" s="488"/>
      <c r="M107" s="479">
        <f t="shared" si="10"/>
        <v>0</v>
      </c>
      <c r="N107" s="488"/>
      <c r="O107" s="479">
        <f t="shared" si="11"/>
        <v>0</v>
      </c>
      <c r="P107" s="479">
        <f t="shared" si="12"/>
        <v>0</v>
      </c>
    </row>
    <row r="108" spans="1:16" ht="12.5">
      <c r="B108" s="160" t="str">
        <f t="shared" si="15"/>
        <v/>
      </c>
      <c r="C108" s="473">
        <f>IF(D93="","-",+C107+1)</f>
        <v>2029</v>
      </c>
      <c r="D108" s="347">
        <f>IF(F107+SUM(E$99:E107)=D$92,F107,D$92-SUM(E$99:E107))</f>
        <v>2058824</v>
      </c>
      <c r="E108" s="485">
        <f t="shared" si="16"/>
        <v>58823</v>
      </c>
      <c r="F108" s="486">
        <f t="shared" si="17"/>
        <v>2000001</v>
      </c>
      <c r="G108" s="486">
        <f t="shared" si="18"/>
        <v>2029412.5</v>
      </c>
      <c r="H108" s="487">
        <f t="shared" si="19"/>
        <v>292808.68184038153</v>
      </c>
      <c r="I108" s="543">
        <f t="shared" si="20"/>
        <v>292808.68184038153</v>
      </c>
      <c r="J108" s="479">
        <f t="shared" si="14"/>
        <v>0</v>
      </c>
      <c r="K108" s="479"/>
      <c r="L108" s="488"/>
      <c r="M108" s="479">
        <f t="shared" si="10"/>
        <v>0</v>
      </c>
      <c r="N108" s="488"/>
      <c r="O108" s="479">
        <f t="shared" si="11"/>
        <v>0</v>
      </c>
      <c r="P108" s="479">
        <f t="shared" si="12"/>
        <v>0</v>
      </c>
    </row>
    <row r="109" spans="1:16" ht="12.5">
      <c r="B109" s="160" t="str">
        <f t="shared" si="15"/>
        <v/>
      </c>
      <c r="C109" s="473">
        <f>IF(D93="","-",+C108+1)</f>
        <v>2030</v>
      </c>
      <c r="D109" s="347">
        <f>IF(F108+SUM(E$99:E108)=D$92,F108,D$92-SUM(E$99:E108))</f>
        <v>2000001</v>
      </c>
      <c r="E109" s="485">
        <f t="shared" si="16"/>
        <v>58823</v>
      </c>
      <c r="F109" s="486">
        <f t="shared" si="17"/>
        <v>1941178</v>
      </c>
      <c r="G109" s="486">
        <f t="shared" si="18"/>
        <v>1970589.5</v>
      </c>
      <c r="H109" s="487">
        <f t="shared" si="19"/>
        <v>286026.55166088534</v>
      </c>
      <c r="I109" s="543">
        <f t="shared" si="20"/>
        <v>286026.55166088534</v>
      </c>
      <c r="J109" s="479">
        <f t="shared" si="14"/>
        <v>0</v>
      </c>
      <c r="K109" s="479"/>
      <c r="L109" s="488"/>
      <c r="M109" s="479">
        <f t="shared" si="10"/>
        <v>0</v>
      </c>
      <c r="N109" s="488"/>
      <c r="O109" s="479">
        <f t="shared" si="11"/>
        <v>0</v>
      </c>
      <c r="P109" s="479">
        <f t="shared" si="12"/>
        <v>0</v>
      </c>
    </row>
    <row r="110" spans="1:16" ht="12.5">
      <c r="B110" s="160" t="str">
        <f t="shared" si="15"/>
        <v/>
      </c>
      <c r="C110" s="473">
        <f>IF(D93="","-",+C109+1)</f>
        <v>2031</v>
      </c>
      <c r="D110" s="347">
        <f>IF(F109+SUM(E$99:E109)=D$92,F109,D$92-SUM(E$99:E109))</f>
        <v>1941178</v>
      </c>
      <c r="E110" s="485">
        <f t="shared" si="16"/>
        <v>58823</v>
      </c>
      <c r="F110" s="486">
        <f t="shared" si="17"/>
        <v>1882355</v>
      </c>
      <c r="G110" s="486">
        <f t="shared" si="18"/>
        <v>1911766.5</v>
      </c>
      <c r="H110" s="487">
        <f t="shared" si="19"/>
        <v>279244.4214813892</v>
      </c>
      <c r="I110" s="543">
        <f t="shared" si="20"/>
        <v>279244.4214813892</v>
      </c>
      <c r="J110" s="479">
        <f t="shared" si="14"/>
        <v>0</v>
      </c>
      <c r="K110" s="479"/>
      <c r="L110" s="488"/>
      <c r="M110" s="479">
        <f t="shared" si="10"/>
        <v>0</v>
      </c>
      <c r="N110" s="488"/>
      <c r="O110" s="479">
        <f t="shared" si="11"/>
        <v>0</v>
      </c>
      <c r="P110" s="479">
        <f t="shared" si="12"/>
        <v>0</v>
      </c>
    </row>
    <row r="111" spans="1:16" ht="12.5">
      <c r="B111" s="160" t="str">
        <f t="shared" si="15"/>
        <v/>
      </c>
      <c r="C111" s="473">
        <f>IF(D93="","-",+C110+1)</f>
        <v>2032</v>
      </c>
      <c r="D111" s="347">
        <f>IF(F110+SUM(E$99:E110)=D$92,F110,D$92-SUM(E$99:E110))</f>
        <v>1882355</v>
      </c>
      <c r="E111" s="485">
        <f t="shared" si="16"/>
        <v>58823</v>
      </c>
      <c r="F111" s="486">
        <f t="shared" si="17"/>
        <v>1823532</v>
      </c>
      <c r="G111" s="486">
        <f t="shared" si="18"/>
        <v>1852943.5</v>
      </c>
      <c r="H111" s="487">
        <f t="shared" si="19"/>
        <v>272462.29130189307</v>
      </c>
      <c r="I111" s="543">
        <f t="shared" si="20"/>
        <v>272462.29130189307</v>
      </c>
      <c r="J111" s="479">
        <f t="shared" si="14"/>
        <v>0</v>
      </c>
      <c r="K111" s="479"/>
      <c r="L111" s="488"/>
      <c r="M111" s="479">
        <f t="shared" si="10"/>
        <v>0</v>
      </c>
      <c r="N111" s="488"/>
      <c r="O111" s="479">
        <f t="shared" si="11"/>
        <v>0</v>
      </c>
      <c r="P111" s="479">
        <f t="shared" si="12"/>
        <v>0</v>
      </c>
    </row>
    <row r="112" spans="1:16" ht="12.5">
      <c r="B112" s="160" t="str">
        <f t="shared" si="15"/>
        <v/>
      </c>
      <c r="C112" s="473">
        <f>IF(D93="","-",+C111+1)</f>
        <v>2033</v>
      </c>
      <c r="D112" s="347">
        <f>IF(F111+SUM(E$99:E111)=D$92,F111,D$92-SUM(E$99:E111))</f>
        <v>1823532</v>
      </c>
      <c r="E112" s="485">
        <f t="shared" si="16"/>
        <v>58823</v>
      </c>
      <c r="F112" s="486">
        <f t="shared" si="17"/>
        <v>1764709</v>
      </c>
      <c r="G112" s="486">
        <f t="shared" si="18"/>
        <v>1794120.5</v>
      </c>
      <c r="H112" s="487">
        <f t="shared" si="19"/>
        <v>265680.16112239688</v>
      </c>
      <c r="I112" s="543">
        <f t="shared" si="20"/>
        <v>265680.16112239688</v>
      </c>
      <c r="J112" s="479">
        <f t="shared" si="14"/>
        <v>0</v>
      </c>
      <c r="K112" s="479"/>
      <c r="L112" s="488"/>
      <c r="M112" s="479">
        <f t="shared" si="10"/>
        <v>0</v>
      </c>
      <c r="N112" s="488"/>
      <c r="O112" s="479">
        <f t="shared" si="11"/>
        <v>0</v>
      </c>
      <c r="P112" s="479">
        <f t="shared" si="12"/>
        <v>0</v>
      </c>
    </row>
    <row r="113" spans="2:16" ht="12.5">
      <c r="B113" s="160" t="str">
        <f t="shared" si="15"/>
        <v/>
      </c>
      <c r="C113" s="473">
        <f>IF(D93="","-",+C112+1)</f>
        <v>2034</v>
      </c>
      <c r="D113" s="347">
        <f>IF(F112+SUM(E$99:E112)=D$92,F112,D$92-SUM(E$99:E112))</f>
        <v>1764709</v>
      </c>
      <c r="E113" s="485">
        <f t="shared" si="16"/>
        <v>58823</v>
      </c>
      <c r="F113" s="486">
        <f t="shared" si="17"/>
        <v>1705886</v>
      </c>
      <c r="G113" s="486">
        <f t="shared" si="18"/>
        <v>1735297.5</v>
      </c>
      <c r="H113" s="487">
        <f t="shared" si="19"/>
        <v>258898.03094290072</v>
      </c>
      <c r="I113" s="543">
        <f t="shared" si="20"/>
        <v>258898.03094290072</v>
      </c>
      <c r="J113" s="479">
        <f t="shared" si="14"/>
        <v>0</v>
      </c>
      <c r="K113" s="479"/>
      <c r="L113" s="488"/>
      <c r="M113" s="479">
        <f t="shared" si="10"/>
        <v>0</v>
      </c>
      <c r="N113" s="488"/>
      <c r="O113" s="479">
        <f t="shared" si="11"/>
        <v>0</v>
      </c>
      <c r="P113" s="479">
        <f t="shared" si="12"/>
        <v>0</v>
      </c>
    </row>
    <row r="114" spans="2:16" ht="12.5">
      <c r="B114" s="160" t="str">
        <f t="shared" si="15"/>
        <v/>
      </c>
      <c r="C114" s="473">
        <f>IF(D93="","-",+C113+1)</f>
        <v>2035</v>
      </c>
      <c r="D114" s="347">
        <f>IF(F113+SUM(E$99:E113)=D$92,F113,D$92-SUM(E$99:E113))</f>
        <v>1705886</v>
      </c>
      <c r="E114" s="485">
        <f t="shared" si="16"/>
        <v>58823</v>
      </c>
      <c r="F114" s="486">
        <f t="shared" si="17"/>
        <v>1647063</v>
      </c>
      <c r="G114" s="486">
        <f t="shared" si="18"/>
        <v>1676474.5</v>
      </c>
      <c r="H114" s="487">
        <f t="shared" si="19"/>
        <v>252115.90076340453</v>
      </c>
      <c r="I114" s="543">
        <f t="shared" si="20"/>
        <v>252115.90076340453</v>
      </c>
      <c r="J114" s="479">
        <f t="shared" si="14"/>
        <v>0</v>
      </c>
      <c r="K114" s="479"/>
      <c r="L114" s="488"/>
      <c r="M114" s="479">
        <f t="shared" si="10"/>
        <v>0</v>
      </c>
      <c r="N114" s="488"/>
      <c r="O114" s="479">
        <f t="shared" si="11"/>
        <v>0</v>
      </c>
      <c r="P114" s="479">
        <f t="shared" si="12"/>
        <v>0</v>
      </c>
    </row>
    <row r="115" spans="2:16" ht="12.5">
      <c r="B115" s="160" t="str">
        <f t="shared" si="15"/>
        <v/>
      </c>
      <c r="C115" s="473">
        <f>IF(D93="","-",+C114+1)</f>
        <v>2036</v>
      </c>
      <c r="D115" s="347">
        <f>IF(F114+SUM(E$99:E114)=D$92,F114,D$92-SUM(E$99:E114))</f>
        <v>1647063</v>
      </c>
      <c r="E115" s="485">
        <f t="shared" si="16"/>
        <v>58823</v>
      </c>
      <c r="F115" s="486">
        <f t="shared" si="17"/>
        <v>1588240</v>
      </c>
      <c r="G115" s="486">
        <f t="shared" si="18"/>
        <v>1617651.5</v>
      </c>
      <c r="H115" s="487">
        <f t="shared" si="19"/>
        <v>245333.77058390836</v>
      </c>
      <c r="I115" s="543">
        <f t="shared" si="20"/>
        <v>245333.77058390836</v>
      </c>
      <c r="J115" s="479">
        <f t="shared" si="14"/>
        <v>0</v>
      </c>
      <c r="K115" s="479"/>
      <c r="L115" s="488"/>
      <c r="M115" s="479">
        <f t="shared" si="10"/>
        <v>0</v>
      </c>
      <c r="N115" s="488"/>
      <c r="O115" s="479">
        <f t="shared" si="11"/>
        <v>0</v>
      </c>
      <c r="P115" s="479">
        <f t="shared" si="12"/>
        <v>0</v>
      </c>
    </row>
    <row r="116" spans="2:16" ht="12.5">
      <c r="B116" s="160" t="str">
        <f t="shared" si="15"/>
        <v/>
      </c>
      <c r="C116" s="473">
        <f>IF(D93="","-",+C115+1)</f>
        <v>2037</v>
      </c>
      <c r="D116" s="347">
        <f>IF(F115+SUM(E$99:E115)=D$92,F115,D$92-SUM(E$99:E115))</f>
        <v>1588240</v>
      </c>
      <c r="E116" s="485">
        <f t="shared" si="16"/>
        <v>58823</v>
      </c>
      <c r="F116" s="486">
        <f t="shared" si="17"/>
        <v>1529417</v>
      </c>
      <c r="G116" s="486">
        <f t="shared" si="18"/>
        <v>1558828.5</v>
      </c>
      <c r="H116" s="487">
        <f t="shared" si="19"/>
        <v>238551.6404044122</v>
      </c>
      <c r="I116" s="543">
        <f t="shared" si="20"/>
        <v>238551.6404044122</v>
      </c>
      <c r="J116" s="479">
        <f t="shared" si="14"/>
        <v>0</v>
      </c>
      <c r="K116" s="479"/>
      <c r="L116" s="488"/>
      <c r="M116" s="479">
        <f t="shared" si="10"/>
        <v>0</v>
      </c>
      <c r="N116" s="488"/>
      <c r="O116" s="479">
        <f t="shared" si="11"/>
        <v>0</v>
      </c>
      <c r="P116" s="479">
        <f t="shared" si="12"/>
        <v>0</v>
      </c>
    </row>
    <row r="117" spans="2:16" ht="12.5">
      <c r="B117" s="160" t="str">
        <f t="shared" si="15"/>
        <v/>
      </c>
      <c r="C117" s="473">
        <f>IF(D93="","-",+C116+1)</f>
        <v>2038</v>
      </c>
      <c r="D117" s="347">
        <f>IF(F116+SUM(E$99:E116)=D$92,F116,D$92-SUM(E$99:E116))</f>
        <v>1529417</v>
      </c>
      <c r="E117" s="485">
        <f t="shared" si="16"/>
        <v>58823</v>
      </c>
      <c r="F117" s="486">
        <f t="shared" si="17"/>
        <v>1470594</v>
      </c>
      <c r="G117" s="486">
        <f t="shared" si="18"/>
        <v>1500005.5</v>
      </c>
      <c r="H117" s="487">
        <f t="shared" si="19"/>
        <v>231769.51022491604</v>
      </c>
      <c r="I117" s="543">
        <f t="shared" si="20"/>
        <v>231769.51022491604</v>
      </c>
      <c r="J117" s="479">
        <f t="shared" si="14"/>
        <v>0</v>
      </c>
      <c r="K117" s="479"/>
      <c r="L117" s="488"/>
      <c r="M117" s="479">
        <f t="shared" si="10"/>
        <v>0</v>
      </c>
      <c r="N117" s="488"/>
      <c r="O117" s="479">
        <f t="shared" si="11"/>
        <v>0</v>
      </c>
      <c r="P117" s="479">
        <f t="shared" si="12"/>
        <v>0</v>
      </c>
    </row>
    <row r="118" spans="2:16" ht="12.5">
      <c r="B118" s="160" t="str">
        <f t="shared" si="15"/>
        <v/>
      </c>
      <c r="C118" s="473">
        <f>IF(D93="","-",+C117+1)</f>
        <v>2039</v>
      </c>
      <c r="D118" s="347">
        <f>IF(F117+SUM(E$99:E117)=D$92,F117,D$92-SUM(E$99:E117))</f>
        <v>1470594</v>
      </c>
      <c r="E118" s="485">
        <f t="shared" si="16"/>
        <v>58823</v>
      </c>
      <c r="F118" s="486">
        <f t="shared" si="17"/>
        <v>1411771</v>
      </c>
      <c r="G118" s="486">
        <f t="shared" si="18"/>
        <v>1441182.5</v>
      </c>
      <c r="H118" s="487">
        <f t="shared" si="19"/>
        <v>224987.38004541988</v>
      </c>
      <c r="I118" s="543">
        <f t="shared" si="20"/>
        <v>224987.38004541988</v>
      </c>
      <c r="J118" s="479">
        <f t="shared" si="14"/>
        <v>0</v>
      </c>
      <c r="K118" s="479"/>
      <c r="L118" s="488"/>
      <c r="M118" s="479">
        <f t="shared" si="10"/>
        <v>0</v>
      </c>
      <c r="N118" s="488"/>
      <c r="O118" s="479">
        <f t="shared" si="11"/>
        <v>0</v>
      </c>
      <c r="P118" s="479">
        <f t="shared" si="12"/>
        <v>0</v>
      </c>
    </row>
    <row r="119" spans="2:16" ht="12.5">
      <c r="B119" s="160" t="str">
        <f t="shared" si="15"/>
        <v/>
      </c>
      <c r="C119" s="473">
        <f>IF(D93="","-",+C118+1)</f>
        <v>2040</v>
      </c>
      <c r="D119" s="347">
        <f>IF(F118+SUM(E$99:E118)=D$92,F118,D$92-SUM(E$99:E118))</f>
        <v>1411771</v>
      </c>
      <c r="E119" s="485">
        <f t="shared" si="16"/>
        <v>58823</v>
      </c>
      <c r="F119" s="486">
        <f t="shared" si="17"/>
        <v>1352948</v>
      </c>
      <c r="G119" s="486">
        <f t="shared" si="18"/>
        <v>1382359.5</v>
      </c>
      <c r="H119" s="487">
        <f t="shared" si="19"/>
        <v>218205.24986592372</v>
      </c>
      <c r="I119" s="543">
        <f t="shared" si="20"/>
        <v>218205.24986592372</v>
      </c>
      <c r="J119" s="479">
        <f t="shared" si="14"/>
        <v>0</v>
      </c>
      <c r="K119" s="479"/>
      <c r="L119" s="488"/>
      <c r="M119" s="479">
        <f t="shared" si="10"/>
        <v>0</v>
      </c>
      <c r="N119" s="488"/>
      <c r="O119" s="479">
        <f t="shared" si="11"/>
        <v>0</v>
      </c>
      <c r="P119" s="479">
        <f t="shared" si="12"/>
        <v>0</v>
      </c>
    </row>
    <row r="120" spans="2:16" ht="12.5">
      <c r="B120" s="160" t="str">
        <f t="shared" si="15"/>
        <v/>
      </c>
      <c r="C120" s="473">
        <f>IF(D93="","-",+C119+1)</f>
        <v>2041</v>
      </c>
      <c r="D120" s="347">
        <f>IF(F119+SUM(E$99:E119)=D$92,F119,D$92-SUM(E$99:E119))</f>
        <v>1352948</v>
      </c>
      <c r="E120" s="485">
        <f t="shared" si="16"/>
        <v>58823</v>
      </c>
      <c r="F120" s="486">
        <f t="shared" si="17"/>
        <v>1294125</v>
      </c>
      <c r="G120" s="486">
        <f t="shared" si="18"/>
        <v>1323536.5</v>
      </c>
      <c r="H120" s="487">
        <f t="shared" si="19"/>
        <v>211423.11968642756</v>
      </c>
      <c r="I120" s="543">
        <f t="shared" si="20"/>
        <v>211423.11968642756</v>
      </c>
      <c r="J120" s="479">
        <f t="shared" si="14"/>
        <v>0</v>
      </c>
      <c r="K120" s="479"/>
      <c r="L120" s="488"/>
      <c r="M120" s="479">
        <f t="shared" si="10"/>
        <v>0</v>
      </c>
      <c r="N120" s="488"/>
      <c r="O120" s="479">
        <f t="shared" si="11"/>
        <v>0</v>
      </c>
      <c r="P120" s="479">
        <f t="shared" si="12"/>
        <v>0</v>
      </c>
    </row>
    <row r="121" spans="2:16" ht="12.5">
      <c r="B121" s="160" t="str">
        <f t="shared" si="15"/>
        <v/>
      </c>
      <c r="C121" s="473">
        <f>IF(D93="","-",+C120+1)</f>
        <v>2042</v>
      </c>
      <c r="D121" s="347">
        <f>IF(F120+SUM(E$99:E120)=D$92,F120,D$92-SUM(E$99:E120))</f>
        <v>1294125</v>
      </c>
      <c r="E121" s="485">
        <f t="shared" si="16"/>
        <v>58823</v>
      </c>
      <c r="F121" s="486">
        <f t="shared" si="17"/>
        <v>1235302</v>
      </c>
      <c r="G121" s="486">
        <f t="shared" si="18"/>
        <v>1264713.5</v>
      </c>
      <c r="H121" s="487">
        <f t="shared" si="19"/>
        <v>204640.98950693136</v>
      </c>
      <c r="I121" s="543">
        <f t="shared" si="20"/>
        <v>204640.98950693136</v>
      </c>
      <c r="J121" s="479">
        <f t="shared" si="14"/>
        <v>0</v>
      </c>
      <c r="K121" s="479"/>
      <c r="L121" s="488"/>
      <c r="M121" s="479">
        <f t="shared" si="10"/>
        <v>0</v>
      </c>
      <c r="N121" s="488"/>
      <c r="O121" s="479">
        <f t="shared" si="11"/>
        <v>0</v>
      </c>
      <c r="P121" s="479">
        <f t="shared" si="12"/>
        <v>0</v>
      </c>
    </row>
    <row r="122" spans="2:16" ht="12.5">
      <c r="B122" s="160" t="str">
        <f t="shared" si="15"/>
        <v/>
      </c>
      <c r="C122" s="473">
        <f>IF(D93="","-",+C121+1)</f>
        <v>2043</v>
      </c>
      <c r="D122" s="347">
        <f>IF(F121+SUM(E$99:E121)=D$92,F121,D$92-SUM(E$99:E121))</f>
        <v>1235302</v>
      </c>
      <c r="E122" s="485">
        <f t="shared" si="16"/>
        <v>58823</v>
      </c>
      <c r="F122" s="486">
        <f t="shared" si="17"/>
        <v>1176479</v>
      </c>
      <c r="G122" s="486">
        <f t="shared" si="18"/>
        <v>1205890.5</v>
      </c>
      <c r="H122" s="487">
        <f t="shared" si="19"/>
        <v>197858.8593274352</v>
      </c>
      <c r="I122" s="543">
        <f t="shared" si="20"/>
        <v>197858.8593274352</v>
      </c>
      <c r="J122" s="479">
        <f t="shared" si="14"/>
        <v>0</v>
      </c>
      <c r="K122" s="479"/>
      <c r="L122" s="488"/>
      <c r="M122" s="479">
        <f t="shared" si="10"/>
        <v>0</v>
      </c>
      <c r="N122" s="488"/>
      <c r="O122" s="479">
        <f t="shared" si="11"/>
        <v>0</v>
      </c>
      <c r="P122" s="479">
        <f t="shared" si="12"/>
        <v>0</v>
      </c>
    </row>
    <row r="123" spans="2:16" ht="12.5">
      <c r="B123" s="160" t="str">
        <f t="shared" si="15"/>
        <v/>
      </c>
      <c r="C123" s="473">
        <f>IF(D93="","-",+C122+1)</f>
        <v>2044</v>
      </c>
      <c r="D123" s="347">
        <f>IF(F122+SUM(E$99:E122)=D$92,F122,D$92-SUM(E$99:E122))</f>
        <v>1176479</v>
      </c>
      <c r="E123" s="485">
        <f t="shared" si="16"/>
        <v>58823</v>
      </c>
      <c r="F123" s="486">
        <f t="shared" si="17"/>
        <v>1117656</v>
      </c>
      <c r="G123" s="486">
        <f t="shared" si="18"/>
        <v>1147067.5</v>
      </c>
      <c r="H123" s="487">
        <f t="shared" si="19"/>
        <v>191076.72914793904</v>
      </c>
      <c r="I123" s="543">
        <f t="shared" si="20"/>
        <v>191076.72914793904</v>
      </c>
      <c r="J123" s="479">
        <f t="shared" si="14"/>
        <v>0</v>
      </c>
      <c r="K123" s="479"/>
      <c r="L123" s="488"/>
      <c r="M123" s="479">
        <f t="shared" si="10"/>
        <v>0</v>
      </c>
      <c r="N123" s="488"/>
      <c r="O123" s="479">
        <f t="shared" si="11"/>
        <v>0</v>
      </c>
      <c r="P123" s="479">
        <f t="shared" si="12"/>
        <v>0</v>
      </c>
    </row>
    <row r="124" spans="2:16" ht="12.5">
      <c r="B124" s="160" t="str">
        <f t="shared" si="15"/>
        <v/>
      </c>
      <c r="C124" s="473">
        <f>IF(D93="","-",+C123+1)</f>
        <v>2045</v>
      </c>
      <c r="D124" s="347">
        <f>IF(F123+SUM(E$99:E123)=D$92,F123,D$92-SUM(E$99:E123))</f>
        <v>1117656</v>
      </c>
      <c r="E124" s="485">
        <f t="shared" si="16"/>
        <v>58823</v>
      </c>
      <c r="F124" s="486">
        <f t="shared" si="17"/>
        <v>1058833</v>
      </c>
      <c r="G124" s="486">
        <f t="shared" si="18"/>
        <v>1088244.5</v>
      </c>
      <c r="H124" s="487">
        <f t="shared" si="19"/>
        <v>184294.59896844288</v>
      </c>
      <c r="I124" s="543">
        <f t="shared" si="20"/>
        <v>184294.59896844288</v>
      </c>
      <c r="J124" s="479">
        <f t="shared" si="14"/>
        <v>0</v>
      </c>
      <c r="K124" s="479"/>
      <c r="L124" s="488"/>
      <c r="M124" s="479">
        <f t="shared" si="10"/>
        <v>0</v>
      </c>
      <c r="N124" s="488"/>
      <c r="O124" s="479">
        <f t="shared" si="11"/>
        <v>0</v>
      </c>
      <c r="P124" s="479">
        <f t="shared" si="12"/>
        <v>0</v>
      </c>
    </row>
    <row r="125" spans="2:16" ht="12.5">
      <c r="B125" s="160" t="str">
        <f t="shared" si="15"/>
        <v/>
      </c>
      <c r="C125" s="473">
        <f>IF(D93="","-",+C124+1)</f>
        <v>2046</v>
      </c>
      <c r="D125" s="347">
        <f>IF(F124+SUM(E$99:E124)=D$92,F124,D$92-SUM(E$99:E124))</f>
        <v>1058833</v>
      </c>
      <c r="E125" s="485">
        <f t="shared" si="16"/>
        <v>58823</v>
      </c>
      <c r="F125" s="486">
        <f t="shared" si="17"/>
        <v>1000010</v>
      </c>
      <c r="G125" s="486">
        <f t="shared" si="18"/>
        <v>1029421.5</v>
      </c>
      <c r="H125" s="487">
        <f t="shared" si="19"/>
        <v>177512.46878894672</v>
      </c>
      <c r="I125" s="543">
        <f t="shared" si="20"/>
        <v>177512.46878894672</v>
      </c>
      <c r="J125" s="479">
        <f t="shared" si="14"/>
        <v>0</v>
      </c>
      <c r="K125" s="479"/>
      <c r="L125" s="488"/>
      <c r="M125" s="479">
        <f t="shared" si="10"/>
        <v>0</v>
      </c>
      <c r="N125" s="488"/>
      <c r="O125" s="479">
        <f t="shared" si="11"/>
        <v>0</v>
      </c>
      <c r="P125" s="479">
        <f t="shared" si="12"/>
        <v>0</v>
      </c>
    </row>
    <row r="126" spans="2:16" ht="12.5">
      <c r="B126" s="160" t="str">
        <f t="shared" si="15"/>
        <v/>
      </c>
      <c r="C126" s="473">
        <f>IF(D93="","-",+C125+1)</f>
        <v>2047</v>
      </c>
      <c r="D126" s="347">
        <f>IF(F125+SUM(E$99:E125)=D$92,F125,D$92-SUM(E$99:E125))</f>
        <v>1000010</v>
      </c>
      <c r="E126" s="485">
        <f t="shared" si="16"/>
        <v>58823</v>
      </c>
      <c r="F126" s="486">
        <f t="shared" si="17"/>
        <v>941187</v>
      </c>
      <c r="G126" s="486">
        <f t="shared" si="18"/>
        <v>970598.5</v>
      </c>
      <c r="H126" s="487">
        <f t="shared" si="19"/>
        <v>170730.33860945055</v>
      </c>
      <c r="I126" s="543">
        <f t="shared" si="20"/>
        <v>170730.33860945055</v>
      </c>
      <c r="J126" s="479">
        <f t="shared" si="14"/>
        <v>0</v>
      </c>
      <c r="K126" s="479"/>
      <c r="L126" s="488"/>
      <c r="M126" s="479">
        <f t="shared" si="10"/>
        <v>0</v>
      </c>
      <c r="N126" s="488"/>
      <c r="O126" s="479">
        <f t="shared" si="11"/>
        <v>0</v>
      </c>
      <c r="P126" s="479">
        <f t="shared" si="12"/>
        <v>0</v>
      </c>
    </row>
    <row r="127" spans="2:16" ht="12.5">
      <c r="B127" s="160" t="str">
        <f t="shared" si="15"/>
        <v/>
      </c>
      <c r="C127" s="473">
        <f>IF(D93="","-",+C126+1)</f>
        <v>2048</v>
      </c>
      <c r="D127" s="347">
        <f>IF(F126+SUM(E$99:E126)=D$92,F126,D$92-SUM(E$99:E126))</f>
        <v>941187</v>
      </c>
      <c r="E127" s="485">
        <f t="shared" si="16"/>
        <v>58823</v>
      </c>
      <c r="F127" s="486">
        <f t="shared" si="17"/>
        <v>882364</v>
      </c>
      <c r="G127" s="486">
        <f t="shared" si="18"/>
        <v>911775.5</v>
      </c>
      <c r="H127" s="487">
        <f t="shared" si="19"/>
        <v>163948.20842995436</v>
      </c>
      <c r="I127" s="543">
        <f t="shared" si="20"/>
        <v>163948.20842995436</v>
      </c>
      <c r="J127" s="479">
        <f t="shared" si="14"/>
        <v>0</v>
      </c>
      <c r="K127" s="479"/>
      <c r="L127" s="488"/>
      <c r="M127" s="479">
        <f t="shared" si="10"/>
        <v>0</v>
      </c>
      <c r="N127" s="488"/>
      <c r="O127" s="479">
        <f t="shared" si="11"/>
        <v>0</v>
      </c>
      <c r="P127" s="479">
        <f t="shared" si="12"/>
        <v>0</v>
      </c>
    </row>
    <row r="128" spans="2:16" ht="12.5">
      <c r="B128" s="160" t="str">
        <f t="shared" si="15"/>
        <v/>
      </c>
      <c r="C128" s="473">
        <f>IF(D93="","-",+C127+1)</f>
        <v>2049</v>
      </c>
      <c r="D128" s="347">
        <f>IF(F127+SUM(E$99:E127)=D$92,F127,D$92-SUM(E$99:E127))</f>
        <v>882364</v>
      </c>
      <c r="E128" s="485">
        <f t="shared" si="16"/>
        <v>58823</v>
      </c>
      <c r="F128" s="486">
        <f t="shared" si="17"/>
        <v>823541</v>
      </c>
      <c r="G128" s="486">
        <f t="shared" si="18"/>
        <v>852952.5</v>
      </c>
      <c r="H128" s="487">
        <f t="shared" si="19"/>
        <v>157166.07825045823</v>
      </c>
      <c r="I128" s="543">
        <f t="shared" si="20"/>
        <v>157166.07825045823</v>
      </c>
      <c r="J128" s="479">
        <f t="shared" si="14"/>
        <v>0</v>
      </c>
      <c r="K128" s="479"/>
      <c r="L128" s="488"/>
      <c r="M128" s="479">
        <f t="shared" si="10"/>
        <v>0</v>
      </c>
      <c r="N128" s="488"/>
      <c r="O128" s="479">
        <f t="shared" si="11"/>
        <v>0</v>
      </c>
      <c r="P128" s="479">
        <f t="shared" si="12"/>
        <v>0</v>
      </c>
    </row>
    <row r="129" spans="2:16" ht="12.5">
      <c r="B129" s="160" t="str">
        <f t="shared" si="15"/>
        <v/>
      </c>
      <c r="C129" s="473">
        <f>IF(D93="","-",+C128+1)</f>
        <v>2050</v>
      </c>
      <c r="D129" s="347">
        <f>IF(F128+SUM(E$99:E128)=D$92,F128,D$92-SUM(E$99:E128))</f>
        <v>823541</v>
      </c>
      <c r="E129" s="485">
        <f t="shared" si="16"/>
        <v>58823</v>
      </c>
      <c r="F129" s="486">
        <f t="shared" si="17"/>
        <v>764718</v>
      </c>
      <c r="G129" s="486">
        <f t="shared" si="18"/>
        <v>794129.5</v>
      </c>
      <c r="H129" s="487">
        <f t="shared" si="19"/>
        <v>150383.94807096204</v>
      </c>
      <c r="I129" s="543">
        <f t="shared" si="20"/>
        <v>150383.94807096204</v>
      </c>
      <c r="J129" s="479">
        <f t="shared" si="14"/>
        <v>0</v>
      </c>
      <c r="K129" s="479"/>
      <c r="L129" s="488"/>
      <c r="M129" s="479">
        <f t="shared" si="10"/>
        <v>0</v>
      </c>
      <c r="N129" s="488"/>
      <c r="O129" s="479">
        <f t="shared" si="11"/>
        <v>0</v>
      </c>
      <c r="P129" s="479">
        <f t="shared" si="12"/>
        <v>0</v>
      </c>
    </row>
    <row r="130" spans="2:16" ht="12.5">
      <c r="B130" s="160" t="str">
        <f t="shared" si="15"/>
        <v/>
      </c>
      <c r="C130" s="473">
        <f>IF(D93="","-",+C129+1)</f>
        <v>2051</v>
      </c>
      <c r="D130" s="347">
        <f>IF(F129+SUM(E$99:E129)=D$92,F129,D$92-SUM(E$99:E129))</f>
        <v>764718</v>
      </c>
      <c r="E130" s="485">
        <f t="shared" si="16"/>
        <v>58823</v>
      </c>
      <c r="F130" s="486">
        <f t="shared" si="17"/>
        <v>705895</v>
      </c>
      <c r="G130" s="486">
        <f t="shared" si="18"/>
        <v>735306.5</v>
      </c>
      <c r="H130" s="487">
        <f t="shared" si="19"/>
        <v>143601.81789146588</v>
      </c>
      <c r="I130" s="543">
        <f t="shared" si="20"/>
        <v>143601.81789146588</v>
      </c>
      <c r="J130" s="479">
        <f t="shared" si="14"/>
        <v>0</v>
      </c>
      <c r="K130" s="479"/>
      <c r="L130" s="488"/>
      <c r="M130" s="479">
        <f t="shared" si="10"/>
        <v>0</v>
      </c>
      <c r="N130" s="488"/>
      <c r="O130" s="479">
        <f t="shared" si="11"/>
        <v>0</v>
      </c>
      <c r="P130" s="479">
        <f t="shared" si="12"/>
        <v>0</v>
      </c>
    </row>
    <row r="131" spans="2:16" ht="12.5">
      <c r="B131" s="160" t="str">
        <f t="shared" si="15"/>
        <v/>
      </c>
      <c r="C131" s="473">
        <f>IF(D93="","-",+C130+1)</f>
        <v>2052</v>
      </c>
      <c r="D131" s="347">
        <f>IF(F130+SUM(E$99:E130)=D$92,F130,D$92-SUM(E$99:E130))</f>
        <v>705895</v>
      </c>
      <c r="E131" s="485">
        <f t="shared" si="16"/>
        <v>58823</v>
      </c>
      <c r="F131" s="486">
        <f t="shared" si="17"/>
        <v>647072</v>
      </c>
      <c r="G131" s="486">
        <f t="shared" si="18"/>
        <v>676483.5</v>
      </c>
      <c r="H131" s="487">
        <f t="shared" si="19"/>
        <v>136819.68771196972</v>
      </c>
      <c r="I131" s="543">
        <f t="shared" si="20"/>
        <v>136819.68771196972</v>
      </c>
      <c r="J131" s="479">
        <f t="shared" ref="J131:J154" si="21">+I541-H541</f>
        <v>0</v>
      </c>
      <c r="K131" s="479"/>
      <c r="L131" s="488"/>
      <c r="M131" s="479">
        <f t="shared" ref="M131:M154" si="22">IF(L541&lt;&gt;0,+H541-L541,0)</f>
        <v>0</v>
      </c>
      <c r="N131" s="488"/>
      <c r="O131" s="479">
        <f t="shared" ref="O131:O154" si="23">IF(N541&lt;&gt;0,+I541-N541,0)</f>
        <v>0</v>
      </c>
      <c r="P131" s="479">
        <f t="shared" ref="P131:P154" si="24">+O541-M541</f>
        <v>0</v>
      </c>
    </row>
    <row r="132" spans="2:16" ht="12.5">
      <c r="B132" s="160" t="str">
        <f t="shared" si="15"/>
        <v/>
      </c>
      <c r="C132" s="473">
        <f>IF(D93="","-",+C131+1)</f>
        <v>2053</v>
      </c>
      <c r="D132" s="347">
        <f>IF(F131+SUM(E$99:E131)=D$92,F131,D$92-SUM(E$99:E131))</f>
        <v>647072</v>
      </c>
      <c r="E132" s="485">
        <f t="shared" si="16"/>
        <v>58823</v>
      </c>
      <c r="F132" s="486">
        <f t="shared" si="17"/>
        <v>588249</v>
      </c>
      <c r="G132" s="486">
        <f t="shared" si="18"/>
        <v>617660.5</v>
      </c>
      <c r="H132" s="487">
        <f t="shared" si="19"/>
        <v>130037.55753247355</v>
      </c>
      <c r="I132" s="543">
        <f t="shared" si="20"/>
        <v>130037.55753247355</v>
      </c>
      <c r="J132" s="479">
        <f t="shared" si="21"/>
        <v>0</v>
      </c>
      <c r="K132" s="479"/>
      <c r="L132" s="488"/>
      <c r="M132" s="479">
        <f t="shared" si="22"/>
        <v>0</v>
      </c>
      <c r="N132" s="488"/>
      <c r="O132" s="479">
        <f t="shared" si="23"/>
        <v>0</v>
      </c>
      <c r="P132" s="479">
        <f t="shared" si="24"/>
        <v>0</v>
      </c>
    </row>
    <row r="133" spans="2:16" ht="12.5">
      <c r="B133" s="160" t="str">
        <f t="shared" si="15"/>
        <v/>
      </c>
      <c r="C133" s="473">
        <f>IF(D93="","-",+C132+1)</f>
        <v>2054</v>
      </c>
      <c r="D133" s="347">
        <f>IF(F132+SUM(E$99:E132)=D$92,F132,D$92-SUM(E$99:E132))</f>
        <v>588249</v>
      </c>
      <c r="E133" s="485">
        <f t="shared" si="16"/>
        <v>58823</v>
      </c>
      <c r="F133" s="486">
        <f t="shared" si="17"/>
        <v>529426</v>
      </c>
      <c r="G133" s="486">
        <f t="shared" si="18"/>
        <v>558837.5</v>
      </c>
      <c r="H133" s="487">
        <f t="shared" si="19"/>
        <v>123255.42735297739</v>
      </c>
      <c r="I133" s="543">
        <f t="shared" si="20"/>
        <v>123255.42735297739</v>
      </c>
      <c r="J133" s="479">
        <f t="shared" si="21"/>
        <v>0</v>
      </c>
      <c r="K133" s="479"/>
      <c r="L133" s="488"/>
      <c r="M133" s="479">
        <f t="shared" si="22"/>
        <v>0</v>
      </c>
      <c r="N133" s="488"/>
      <c r="O133" s="479">
        <f t="shared" si="23"/>
        <v>0</v>
      </c>
      <c r="P133" s="479">
        <f t="shared" si="24"/>
        <v>0</v>
      </c>
    </row>
    <row r="134" spans="2:16" ht="12.5">
      <c r="B134" s="160" t="str">
        <f t="shared" si="15"/>
        <v/>
      </c>
      <c r="C134" s="473">
        <f>IF(D93="","-",+C133+1)</f>
        <v>2055</v>
      </c>
      <c r="D134" s="347">
        <f>IF(F133+SUM(E$99:E133)=D$92,F133,D$92-SUM(E$99:E133))</f>
        <v>529426</v>
      </c>
      <c r="E134" s="485">
        <f t="shared" si="16"/>
        <v>58823</v>
      </c>
      <c r="F134" s="486">
        <f t="shared" si="17"/>
        <v>470603</v>
      </c>
      <c r="G134" s="486">
        <f t="shared" si="18"/>
        <v>500014.5</v>
      </c>
      <c r="H134" s="487">
        <f t="shared" si="19"/>
        <v>116473.29717348122</v>
      </c>
      <c r="I134" s="543">
        <f t="shared" si="20"/>
        <v>116473.29717348122</v>
      </c>
      <c r="J134" s="479">
        <f t="shared" si="21"/>
        <v>0</v>
      </c>
      <c r="K134" s="479"/>
      <c r="L134" s="488"/>
      <c r="M134" s="479">
        <f t="shared" si="22"/>
        <v>0</v>
      </c>
      <c r="N134" s="488"/>
      <c r="O134" s="479">
        <f t="shared" si="23"/>
        <v>0</v>
      </c>
      <c r="P134" s="479">
        <f t="shared" si="24"/>
        <v>0</v>
      </c>
    </row>
    <row r="135" spans="2:16" ht="12.5">
      <c r="B135" s="160" t="str">
        <f t="shared" si="15"/>
        <v/>
      </c>
      <c r="C135" s="473">
        <f>IF(D93="","-",+C134+1)</f>
        <v>2056</v>
      </c>
      <c r="D135" s="347">
        <f>IF(F134+SUM(E$99:E134)=D$92,F134,D$92-SUM(E$99:E134))</f>
        <v>470603</v>
      </c>
      <c r="E135" s="485">
        <f t="shared" si="16"/>
        <v>58823</v>
      </c>
      <c r="F135" s="486">
        <f t="shared" si="17"/>
        <v>411780</v>
      </c>
      <c r="G135" s="486">
        <f t="shared" si="18"/>
        <v>441191.5</v>
      </c>
      <c r="H135" s="487">
        <f t="shared" si="19"/>
        <v>109691.16699398505</v>
      </c>
      <c r="I135" s="543">
        <f t="shared" si="20"/>
        <v>109691.16699398505</v>
      </c>
      <c r="J135" s="479">
        <f t="shared" si="21"/>
        <v>0</v>
      </c>
      <c r="K135" s="479"/>
      <c r="L135" s="488"/>
      <c r="M135" s="479">
        <f t="shared" si="22"/>
        <v>0</v>
      </c>
      <c r="N135" s="488"/>
      <c r="O135" s="479">
        <f t="shared" si="23"/>
        <v>0</v>
      </c>
      <c r="P135" s="479">
        <f t="shared" si="24"/>
        <v>0</v>
      </c>
    </row>
    <row r="136" spans="2:16" ht="12.5">
      <c r="B136" s="160" t="str">
        <f t="shared" si="15"/>
        <v/>
      </c>
      <c r="C136" s="473">
        <f>IF(D93="","-",+C135+1)</f>
        <v>2057</v>
      </c>
      <c r="D136" s="347">
        <f>IF(F135+SUM(E$99:E135)=D$92,F135,D$92-SUM(E$99:E135))</f>
        <v>411780</v>
      </c>
      <c r="E136" s="485">
        <f t="shared" si="16"/>
        <v>58823</v>
      </c>
      <c r="F136" s="486">
        <f t="shared" si="17"/>
        <v>352957</v>
      </c>
      <c r="G136" s="486">
        <f t="shared" si="18"/>
        <v>382368.5</v>
      </c>
      <c r="H136" s="487">
        <f t="shared" si="19"/>
        <v>102909.03681448888</v>
      </c>
      <c r="I136" s="543">
        <f t="shared" si="20"/>
        <v>102909.03681448888</v>
      </c>
      <c r="J136" s="479">
        <f t="shared" si="21"/>
        <v>0</v>
      </c>
      <c r="K136" s="479"/>
      <c r="L136" s="488"/>
      <c r="M136" s="479">
        <f t="shared" si="22"/>
        <v>0</v>
      </c>
      <c r="N136" s="488"/>
      <c r="O136" s="479">
        <f t="shared" si="23"/>
        <v>0</v>
      </c>
      <c r="P136" s="479">
        <f t="shared" si="24"/>
        <v>0</v>
      </c>
    </row>
    <row r="137" spans="2:16" ht="12.5">
      <c r="B137" s="160" t="str">
        <f t="shared" si="15"/>
        <v/>
      </c>
      <c r="C137" s="473">
        <f>IF(D93="","-",+C136+1)</f>
        <v>2058</v>
      </c>
      <c r="D137" s="347">
        <f>IF(F136+SUM(E$99:E136)=D$92,F136,D$92-SUM(E$99:E136))</f>
        <v>352957</v>
      </c>
      <c r="E137" s="485">
        <f t="shared" si="16"/>
        <v>58823</v>
      </c>
      <c r="F137" s="486">
        <f t="shared" si="17"/>
        <v>294134</v>
      </c>
      <c r="G137" s="486">
        <f t="shared" si="18"/>
        <v>323545.5</v>
      </c>
      <c r="H137" s="487">
        <f t="shared" si="19"/>
        <v>96126.906634992716</v>
      </c>
      <c r="I137" s="543">
        <f t="shared" si="20"/>
        <v>96126.906634992716</v>
      </c>
      <c r="J137" s="479">
        <f t="shared" si="21"/>
        <v>0</v>
      </c>
      <c r="K137" s="479"/>
      <c r="L137" s="488"/>
      <c r="M137" s="479">
        <f t="shared" si="22"/>
        <v>0</v>
      </c>
      <c r="N137" s="488"/>
      <c r="O137" s="479">
        <f t="shared" si="23"/>
        <v>0</v>
      </c>
      <c r="P137" s="479">
        <f t="shared" si="24"/>
        <v>0</v>
      </c>
    </row>
    <row r="138" spans="2:16" ht="12.5">
      <c r="B138" s="160" t="str">
        <f t="shared" si="15"/>
        <v/>
      </c>
      <c r="C138" s="473">
        <f>IF(D93="","-",+C137+1)</f>
        <v>2059</v>
      </c>
      <c r="D138" s="347">
        <f>IF(F137+SUM(E$99:E137)=D$92,F137,D$92-SUM(E$99:E137))</f>
        <v>294134</v>
      </c>
      <c r="E138" s="485">
        <f t="shared" si="16"/>
        <v>58823</v>
      </c>
      <c r="F138" s="486">
        <f t="shared" si="17"/>
        <v>235311</v>
      </c>
      <c r="G138" s="486">
        <f t="shared" si="18"/>
        <v>264722.5</v>
      </c>
      <c r="H138" s="487">
        <f t="shared" si="19"/>
        <v>89344.776455496554</v>
      </c>
      <c r="I138" s="543">
        <f t="shared" si="20"/>
        <v>89344.776455496554</v>
      </c>
      <c r="J138" s="479">
        <f t="shared" si="21"/>
        <v>0</v>
      </c>
      <c r="K138" s="479"/>
      <c r="L138" s="488"/>
      <c r="M138" s="479">
        <f t="shared" si="22"/>
        <v>0</v>
      </c>
      <c r="N138" s="488"/>
      <c r="O138" s="479">
        <f t="shared" si="23"/>
        <v>0</v>
      </c>
      <c r="P138" s="479">
        <f t="shared" si="24"/>
        <v>0</v>
      </c>
    </row>
    <row r="139" spans="2:16" ht="12.5">
      <c r="B139" s="160" t="str">
        <f t="shared" si="15"/>
        <v/>
      </c>
      <c r="C139" s="473">
        <f>IF(D93="","-",+C138+1)</f>
        <v>2060</v>
      </c>
      <c r="D139" s="347">
        <f>IF(F138+SUM(E$99:E138)=D$92,F138,D$92-SUM(E$99:E138))</f>
        <v>235311</v>
      </c>
      <c r="E139" s="485">
        <f t="shared" si="16"/>
        <v>58823</v>
      </c>
      <c r="F139" s="486">
        <f t="shared" si="17"/>
        <v>176488</v>
      </c>
      <c r="G139" s="486">
        <f t="shared" si="18"/>
        <v>205899.5</v>
      </c>
      <c r="H139" s="487">
        <f t="shared" si="19"/>
        <v>82562.646276000392</v>
      </c>
      <c r="I139" s="543">
        <f t="shared" si="20"/>
        <v>82562.646276000392</v>
      </c>
      <c r="J139" s="479">
        <f t="shared" si="21"/>
        <v>0</v>
      </c>
      <c r="K139" s="479"/>
      <c r="L139" s="488"/>
      <c r="M139" s="479">
        <f t="shared" si="22"/>
        <v>0</v>
      </c>
      <c r="N139" s="488"/>
      <c r="O139" s="479">
        <f t="shared" si="23"/>
        <v>0</v>
      </c>
      <c r="P139" s="479">
        <f t="shared" si="24"/>
        <v>0</v>
      </c>
    </row>
    <row r="140" spans="2:16" ht="12.5">
      <c r="B140" s="160" t="str">
        <f t="shared" si="15"/>
        <v/>
      </c>
      <c r="C140" s="473">
        <f>IF(D93="","-",+C139+1)</f>
        <v>2061</v>
      </c>
      <c r="D140" s="347">
        <f>IF(F139+SUM(E$99:E139)=D$92,F139,D$92-SUM(E$99:E139))</f>
        <v>176488</v>
      </c>
      <c r="E140" s="485">
        <f t="shared" si="16"/>
        <v>58823</v>
      </c>
      <c r="F140" s="486">
        <f t="shared" si="17"/>
        <v>117665</v>
      </c>
      <c r="G140" s="486">
        <f t="shared" si="18"/>
        <v>147076.5</v>
      </c>
      <c r="H140" s="487">
        <f t="shared" si="19"/>
        <v>75780.516096504231</v>
      </c>
      <c r="I140" s="543">
        <f t="shared" si="20"/>
        <v>75780.516096504231</v>
      </c>
      <c r="J140" s="479">
        <f t="shared" si="21"/>
        <v>0</v>
      </c>
      <c r="K140" s="479"/>
      <c r="L140" s="488"/>
      <c r="M140" s="479">
        <f t="shared" si="22"/>
        <v>0</v>
      </c>
      <c r="N140" s="488"/>
      <c r="O140" s="479">
        <f t="shared" si="23"/>
        <v>0</v>
      </c>
      <c r="P140" s="479">
        <f t="shared" si="24"/>
        <v>0</v>
      </c>
    </row>
    <row r="141" spans="2:16" ht="12.5">
      <c r="B141" s="160" t="str">
        <f t="shared" si="15"/>
        <v/>
      </c>
      <c r="C141" s="473">
        <f>IF(D93="","-",+C140+1)</f>
        <v>2062</v>
      </c>
      <c r="D141" s="347">
        <f>IF(F140+SUM(E$99:E140)=D$92,F140,D$92-SUM(E$99:E140))</f>
        <v>117665</v>
      </c>
      <c r="E141" s="485">
        <f t="shared" si="16"/>
        <v>58823</v>
      </c>
      <c r="F141" s="486">
        <f t="shared" si="17"/>
        <v>58842</v>
      </c>
      <c r="G141" s="486">
        <f t="shared" si="18"/>
        <v>88253.5</v>
      </c>
      <c r="H141" s="487">
        <f t="shared" si="19"/>
        <v>68998.385917008054</v>
      </c>
      <c r="I141" s="543">
        <f t="shared" si="20"/>
        <v>68998.385917008054</v>
      </c>
      <c r="J141" s="479">
        <f t="shared" si="21"/>
        <v>0</v>
      </c>
      <c r="K141" s="479"/>
      <c r="L141" s="488"/>
      <c r="M141" s="479">
        <f t="shared" si="22"/>
        <v>0</v>
      </c>
      <c r="N141" s="488"/>
      <c r="O141" s="479">
        <f t="shared" si="23"/>
        <v>0</v>
      </c>
      <c r="P141" s="479">
        <f t="shared" si="24"/>
        <v>0</v>
      </c>
    </row>
    <row r="142" spans="2:16" ht="12.5">
      <c r="B142" s="160" t="str">
        <f t="shared" si="15"/>
        <v/>
      </c>
      <c r="C142" s="473">
        <f>IF(D93="","-",+C141+1)</f>
        <v>2063</v>
      </c>
      <c r="D142" s="347">
        <f>IF(F141+SUM(E$99:E141)=D$92,F141,D$92-SUM(E$99:E141))</f>
        <v>58842</v>
      </c>
      <c r="E142" s="485">
        <f t="shared" si="16"/>
        <v>58823</v>
      </c>
      <c r="F142" s="486">
        <f t="shared" si="17"/>
        <v>19</v>
      </c>
      <c r="G142" s="486">
        <f t="shared" si="18"/>
        <v>29430.5</v>
      </c>
      <c r="H142" s="487">
        <f t="shared" si="19"/>
        <v>62216.255737511892</v>
      </c>
      <c r="I142" s="543">
        <f t="shared" si="20"/>
        <v>62216.255737511892</v>
      </c>
      <c r="J142" s="479">
        <f t="shared" si="21"/>
        <v>0</v>
      </c>
      <c r="K142" s="479"/>
      <c r="L142" s="488"/>
      <c r="M142" s="479">
        <f t="shared" si="22"/>
        <v>0</v>
      </c>
      <c r="N142" s="488"/>
      <c r="O142" s="479">
        <f t="shared" si="23"/>
        <v>0</v>
      </c>
      <c r="P142" s="479">
        <f t="shared" si="24"/>
        <v>0</v>
      </c>
    </row>
    <row r="143" spans="2:16" ht="12.5">
      <c r="B143" s="160" t="str">
        <f t="shared" si="15"/>
        <v/>
      </c>
      <c r="C143" s="473">
        <f>IF(D93="","-",+C142+1)</f>
        <v>2064</v>
      </c>
      <c r="D143" s="347">
        <f>IF(F142+SUM(E$99:E142)=D$92,F142,D$92-SUM(E$99:E142))</f>
        <v>19</v>
      </c>
      <c r="E143" s="485">
        <f t="shared" si="16"/>
        <v>19</v>
      </c>
      <c r="F143" s="486">
        <f t="shared" si="17"/>
        <v>0</v>
      </c>
      <c r="G143" s="486">
        <f t="shared" si="18"/>
        <v>9.5</v>
      </c>
      <c r="H143" s="487">
        <f t="shared" si="19"/>
        <v>20.095323881903568</v>
      </c>
      <c r="I143" s="543">
        <f t="shared" si="20"/>
        <v>20.095323881903568</v>
      </c>
      <c r="J143" s="479">
        <f t="shared" si="21"/>
        <v>0</v>
      </c>
      <c r="K143" s="479"/>
      <c r="L143" s="488"/>
      <c r="M143" s="479">
        <f t="shared" si="22"/>
        <v>0</v>
      </c>
      <c r="N143" s="488"/>
      <c r="O143" s="479">
        <f t="shared" si="23"/>
        <v>0</v>
      </c>
      <c r="P143" s="479">
        <f t="shared" si="24"/>
        <v>0</v>
      </c>
    </row>
    <row r="144" spans="2:16" ht="12.5">
      <c r="B144" s="160" t="str">
        <f t="shared" si="15"/>
        <v/>
      </c>
      <c r="C144" s="473">
        <f>IF(D93="","-",+C143+1)</f>
        <v>2065</v>
      </c>
      <c r="D144" s="347">
        <f>IF(F143+SUM(E$99:E143)=D$92,F143,D$92-SUM(E$99:E143))</f>
        <v>0</v>
      </c>
      <c r="E144" s="485">
        <f t="shared" si="16"/>
        <v>0</v>
      </c>
      <c r="F144" s="486">
        <f t="shared" si="17"/>
        <v>0</v>
      </c>
      <c r="G144" s="486">
        <f t="shared" si="18"/>
        <v>0</v>
      </c>
      <c r="H144" s="487">
        <f t="shared" si="19"/>
        <v>0</v>
      </c>
      <c r="I144" s="543">
        <f t="shared" si="20"/>
        <v>0</v>
      </c>
      <c r="J144" s="479">
        <f t="shared" si="21"/>
        <v>0</v>
      </c>
      <c r="K144" s="479"/>
      <c r="L144" s="488"/>
      <c r="M144" s="479">
        <f t="shared" si="22"/>
        <v>0</v>
      </c>
      <c r="N144" s="488"/>
      <c r="O144" s="479">
        <f t="shared" si="23"/>
        <v>0</v>
      </c>
      <c r="P144" s="479">
        <f t="shared" si="24"/>
        <v>0</v>
      </c>
    </row>
    <row r="145" spans="2:16" ht="12.5">
      <c r="B145" s="160" t="str">
        <f t="shared" si="15"/>
        <v/>
      </c>
      <c r="C145" s="473">
        <f>IF(D93="","-",+C144+1)</f>
        <v>2066</v>
      </c>
      <c r="D145" s="347">
        <f>IF(F144+SUM(E$99:E144)=D$92,F144,D$92-SUM(E$99:E144))</f>
        <v>0</v>
      </c>
      <c r="E145" s="485">
        <f t="shared" si="16"/>
        <v>0</v>
      </c>
      <c r="F145" s="486">
        <f t="shared" si="17"/>
        <v>0</v>
      </c>
      <c r="G145" s="486">
        <f t="shared" si="18"/>
        <v>0</v>
      </c>
      <c r="H145" s="487">
        <f t="shared" si="19"/>
        <v>0</v>
      </c>
      <c r="I145" s="543">
        <f t="shared" si="20"/>
        <v>0</v>
      </c>
      <c r="J145" s="479">
        <f t="shared" si="21"/>
        <v>0</v>
      </c>
      <c r="K145" s="479"/>
      <c r="L145" s="488"/>
      <c r="M145" s="479">
        <f t="shared" si="22"/>
        <v>0</v>
      </c>
      <c r="N145" s="488"/>
      <c r="O145" s="479">
        <f t="shared" si="23"/>
        <v>0</v>
      </c>
      <c r="P145" s="479">
        <f t="shared" si="24"/>
        <v>0</v>
      </c>
    </row>
    <row r="146" spans="2:16" ht="12.5">
      <c r="B146" s="160" t="str">
        <f t="shared" si="15"/>
        <v/>
      </c>
      <c r="C146" s="473">
        <f>IF(D93="","-",+C145+1)</f>
        <v>2067</v>
      </c>
      <c r="D146" s="347">
        <f>IF(F145+SUM(E$99:E145)=D$92,F145,D$92-SUM(E$99:E145))</f>
        <v>0</v>
      </c>
      <c r="E146" s="485">
        <f t="shared" si="16"/>
        <v>0</v>
      </c>
      <c r="F146" s="486">
        <f t="shared" si="17"/>
        <v>0</v>
      </c>
      <c r="G146" s="486">
        <f t="shared" si="18"/>
        <v>0</v>
      </c>
      <c r="H146" s="487">
        <f t="shared" si="19"/>
        <v>0</v>
      </c>
      <c r="I146" s="543">
        <f t="shared" si="20"/>
        <v>0</v>
      </c>
      <c r="J146" s="479">
        <f t="shared" si="21"/>
        <v>0</v>
      </c>
      <c r="K146" s="479"/>
      <c r="L146" s="488"/>
      <c r="M146" s="479">
        <f t="shared" si="22"/>
        <v>0</v>
      </c>
      <c r="N146" s="488"/>
      <c r="O146" s="479">
        <f t="shared" si="23"/>
        <v>0</v>
      </c>
      <c r="P146" s="479">
        <f t="shared" si="24"/>
        <v>0</v>
      </c>
    </row>
    <row r="147" spans="2:16" ht="12.5">
      <c r="B147" s="160" t="str">
        <f t="shared" si="15"/>
        <v/>
      </c>
      <c r="C147" s="473">
        <f>IF(D93="","-",+C146+1)</f>
        <v>2068</v>
      </c>
      <c r="D147" s="347">
        <f>IF(F146+SUM(E$99:E146)=D$92,F146,D$92-SUM(E$99:E146))</f>
        <v>0</v>
      </c>
      <c r="E147" s="485">
        <f t="shared" si="16"/>
        <v>0</v>
      </c>
      <c r="F147" s="486">
        <f t="shared" si="17"/>
        <v>0</v>
      </c>
      <c r="G147" s="486">
        <f t="shared" si="18"/>
        <v>0</v>
      </c>
      <c r="H147" s="487">
        <f t="shared" si="19"/>
        <v>0</v>
      </c>
      <c r="I147" s="543">
        <f t="shared" si="20"/>
        <v>0</v>
      </c>
      <c r="J147" s="479">
        <f t="shared" si="21"/>
        <v>0</v>
      </c>
      <c r="K147" s="479"/>
      <c r="L147" s="488"/>
      <c r="M147" s="479">
        <f t="shared" si="22"/>
        <v>0</v>
      </c>
      <c r="N147" s="488"/>
      <c r="O147" s="479">
        <f t="shared" si="23"/>
        <v>0</v>
      </c>
      <c r="P147" s="479">
        <f t="shared" si="24"/>
        <v>0</v>
      </c>
    </row>
    <row r="148" spans="2:16" ht="12.5">
      <c r="B148" s="160" t="str">
        <f t="shared" si="15"/>
        <v/>
      </c>
      <c r="C148" s="473">
        <f>IF(D93="","-",+C147+1)</f>
        <v>2069</v>
      </c>
      <c r="D148" s="347">
        <f>IF(F147+SUM(E$99:E147)=D$92,F147,D$92-SUM(E$99:E147))</f>
        <v>0</v>
      </c>
      <c r="E148" s="485">
        <f t="shared" si="16"/>
        <v>0</v>
      </c>
      <c r="F148" s="486">
        <f t="shared" si="17"/>
        <v>0</v>
      </c>
      <c r="G148" s="486">
        <f t="shared" si="18"/>
        <v>0</v>
      </c>
      <c r="H148" s="487">
        <f t="shared" si="19"/>
        <v>0</v>
      </c>
      <c r="I148" s="543">
        <f t="shared" si="20"/>
        <v>0</v>
      </c>
      <c r="J148" s="479">
        <f t="shared" si="21"/>
        <v>0</v>
      </c>
      <c r="K148" s="479"/>
      <c r="L148" s="488"/>
      <c r="M148" s="479">
        <f t="shared" si="22"/>
        <v>0</v>
      </c>
      <c r="N148" s="488"/>
      <c r="O148" s="479">
        <f t="shared" si="23"/>
        <v>0</v>
      </c>
      <c r="P148" s="479">
        <f t="shared" si="24"/>
        <v>0</v>
      </c>
    </row>
    <row r="149" spans="2:16" ht="12.5">
      <c r="B149" s="160" t="str">
        <f t="shared" si="15"/>
        <v/>
      </c>
      <c r="C149" s="473">
        <f>IF(D93="","-",+C148+1)</f>
        <v>2070</v>
      </c>
      <c r="D149" s="347">
        <f>IF(F148+SUM(E$99:E148)=D$92,F148,D$92-SUM(E$99:E148))</f>
        <v>0</v>
      </c>
      <c r="E149" s="485">
        <f t="shared" si="16"/>
        <v>0</v>
      </c>
      <c r="F149" s="486">
        <f t="shared" si="17"/>
        <v>0</v>
      </c>
      <c r="G149" s="486">
        <f t="shared" si="18"/>
        <v>0</v>
      </c>
      <c r="H149" s="487">
        <f t="shared" si="19"/>
        <v>0</v>
      </c>
      <c r="I149" s="543">
        <f t="shared" si="20"/>
        <v>0</v>
      </c>
      <c r="J149" s="479">
        <f t="shared" si="21"/>
        <v>0</v>
      </c>
      <c r="K149" s="479"/>
      <c r="L149" s="488"/>
      <c r="M149" s="479">
        <f t="shared" si="22"/>
        <v>0</v>
      </c>
      <c r="N149" s="488"/>
      <c r="O149" s="479">
        <f t="shared" si="23"/>
        <v>0</v>
      </c>
      <c r="P149" s="479">
        <f t="shared" si="24"/>
        <v>0</v>
      </c>
    </row>
    <row r="150" spans="2:16" ht="12.5">
      <c r="B150" s="160" t="str">
        <f t="shared" si="15"/>
        <v/>
      </c>
      <c r="C150" s="473">
        <f>IF(D93="","-",+C149+1)</f>
        <v>2071</v>
      </c>
      <c r="D150" s="347">
        <f>IF(F149+SUM(E$99:E149)=D$92,F149,D$92-SUM(E$99:E149))</f>
        <v>0</v>
      </c>
      <c r="E150" s="485">
        <f t="shared" si="16"/>
        <v>0</v>
      </c>
      <c r="F150" s="486">
        <f t="shared" si="17"/>
        <v>0</v>
      </c>
      <c r="G150" s="486">
        <f t="shared" si="18"/>
        <v>0</v>
      </c>
      <c r="H150" s="487">
        <f t="shared" si="19"/>
        <v>0</v>
      </c>
      <c r="I150" s="543">
        <f t="shared" si="20"/>
        <v>0</v>
      </c>
      <c r="J150" s="479">
        <f t="shared" si="21"/>
        <v>0</v>
      </c>
      <c r="K150" s="479"/>
      <c r="L150" s="488"/>
      <c r="M150" s="479">
        <f t="shared" si="22"/>
        <v>0</v>
      </c>
      <c r="N150" s="488"/>
      <c r="O150" s="479">
        <f t="shared" si="23"/>
        <v>0</v>
      </c>
      <c r="P150" s="479">
        <f t="shared" si="24"/>
        <v>0</v>
      </c>
    </row>
    <row r="151" spans="2:16" ht="12.5">
      <c r="B151" s="160" t="str">
        <f t="shared" si="15"/>
        <v/>
      </c>
      <c r="C151" s="473">
        <f>IF(D93="","-",+C150+1)</f>
        <v>2072</v>
      </c>
      <c r="D151" s="347">
        <f>IF(F150+SUM(E$99:E150)=D$92,F150,D$92-SUM(E$99:E150))</f>
        <v>0</v>
      </c>
      <c r="E151" s="485">
        <f t="shared" si="16"/>
        <v>0</v>
      </c>
      <c r="F151" s="486">
        <f t="shared" si="17"/>
        <v>0</v>
      </c>
      <c r="G151" s="486">
        <f t="shared" si="18"/>
        <v>0</v>
      </c>
      <c r="H151" s="487">
        <f t="shared" si="19"/>
        <v>0</v>
      </c>
      <c r="I151" s="543">
        <f t="shared" si="20"/>
        <v>0</v>
      </c>
      <c r="J151" s="479">
        <f t="shared" si="21"/>
        <v>0</v>
      </c>
      <c r="K151" s="479"/>
      <c r="L151" s="488"/>
      <c r="M151" s="479">
        <f t="shared" si="22"/>
        <v>0</v>
      </c>
      <c r="N151" s="488"/>
      <c r="O151" s="479">
        <f t="shared" si="23"/>
        <v>0</v>
      </c>
      <c r="P151" s="479">
        <f t="shared" si="24"/>
        <v>0</v>
      </c>
    </row>
    <row r="152" spans="2:16" ht="12.5">
      <c r="B152" s="160" t="str">
        <f t="shared" si="15"/>
        <v/>
      </c>
      <c r="C152" s="473">
        <f>IF(D93="","-",+C151+1)</f>
        <v>2073</v>
      </c>
      <c r="D152" s="347">
        <f>IF(F151+SUM(E$99:E151)=D$92,F151,D$92-SUM(E$99:E151))</f>
        <v>0</v>
      </c>
      <c r="E152" s="485">
        <f t="shared" si="16"/>
        <v>0</v>
      </c>
      <c r="F152" s="486">
        <f t="shared" si="17"/>
        <v>0</v>
      </c>
      <c r="G152" s="486">
        <f t="shared" si="18"/>
        <v>0</v>
      </c>
      <c r="H152" s="487">
        <f t="shared" si="19"/>
        <v>0</v>
      </c>
      <c r="I152" s="543">
        <f t="shared" si="20"/>
        <v>0</v>
      </c>
      <c r="J152" s="479">
        <f t="shared" si="21"/>
        <v>0</v>
      </c>
      <c r="K152" s="479"/>
      <c r="L152" s="488"/>
      <c r="M152" s="479">
        <f t="shared" si="22"/>
        <v>0</v>
      </c>
      <c r="N152" s="488"/>
      <c r="O152" s="479">
        <f t="shared" si="23"/>
        <v>0</v>
      </c>
      <c r="P152" s="479">
        <f t="shared" si="24"/>
        <v>0</v>
      </c>
    </row>
    <row r="153" spans="2:16" ht="12.5">
      <c r="B153" s="160" t="str">
        <f t="shared" si="15"/>
        <v/>
      </c>
      <c r="C153" s="473">
        <f>IF(D93="","-",+C152+1)</f>
        <v>2074</v>
      </c>
      <c r="D153" s="347">
        <f>IF(F152+SUM(E$99:E152)=D$92,F152,D$92-SUM(E$99:E152))</f>
        <v>0</v>
      </c>
      <c r="E153" s="485">
        <f t="shared" si="16"/>
        <v>0</v>
      </c>
      <c r="F153" s="486">
        <f t="shared" si="17"/>
        <v>0</v>
      </c>
      <c r="G153" s="486">
        <f t="shared" si="18"/>
        <v>0</v>
      </c>
      <c r="H153" s="487">
        <f t="shared" si="19"/>
        <v>0</v>
      </c>
      <c r="I153" s="543">
        <f t="shared" si="20"/>
        <v>0</v>
      </c>
      <c r="J153" s="479">
        <f t="shared" si="21"/>
        <v>0</v>
      </c>
      <c r="K153" s="479"/>
      <c r="L153" s="488"/>
      <c r="M153" s="479">
        <f t="shared" si="22"/>
        <v>0</v>
      </c>
      <c r="N153" s="488"/>
      <c r="O153" s="479">
        <f t="shared" si="23"/>
        <v>0</v>
      </c>
      <c r="P153" s="479">
        <f t="shared" si="24"/>
        <v>0</v>
      </c>
    </row>
    <row r="154" spans="2:16" ht="13" thickBot="1">
      <c r="B154" s="160" t="str">
        <f t="shared" si="15"/>
        <v/>
      </c>
      <c r="C154" s="490">
        <f>IF(D93="","-",+C153+1)</f>
        <v>2075</v>
      </c>
      <c r="D154" s="544">
        <f>IF(F153+SUM(E$99:E153)=D$92,F153,D$92-SUM(E$99:E153))</f>
        <v>0</v>
      </c>
      <c r="E154" s="492">
        <f t="shared" si="16"/>
        <v>0</v>
      </c>
      <c r="F154" s="491">
        <f t="shared" si="17"/>
        <v>0</v>
      </c>
      <c r="G154" s="491">
        <f t="shared" si="18"/>
        <v>0</v>
      </c>
      <c r="H154" s="614">
        <f t="shared" ref="H154" si="25">+J$94*G154+E154</f>
        <v>0</v>
      </c>
      <c r="I154" s="615">
        <f t="shared" ref="I154" si="26">+J$95*G154+E154</f>
        <v>0</v>
      </c>
      <c r="J154" s="496">
        <f t="shared" si="21"/>
        <v>0</v>
      </c>
      <c r="K154" s="479"/>
      <c r="L154" s="495"/>
      <c r="M154" s="496">
        <f t="shared" si="22"/>
        <v>0</v>
      </c>
      <c r="N154" s="495"/>
      <c r="O154" s="496">
        <f t="shared" si="23"/>
        <v>0</v>
      </c>
      <c r="P154" s="496">
        <f t="shared" si="24"/>
        <v>0</v>
      </c>
    </row>
    <row r="155" spans="2:16" ht="12.5">
      <c r="C155" s="347" t="s">
        <v>77</v>
      </c>
      <c r="D155" s="348"/>
      <c r="E155" s="348">
        <f>SUM(E99:E154)</f>
        <v>2529408</v>
      </c>
      <c r="F155" s="348"/>
      <c r="G155" s="348"/>
      <c r="H155" s="348">
        <f>SUM(H99:H154)</f>
        <v>8945399.538304979</v>
      </c>
      <c r="I155" s="348">
        <f>SUM(I99:I154)</f>
        <v>8945399.538304979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149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P162"/>
  <sheetViews>
    <sheetView view="pageBreakPreview" zoomScale="78" zoomScaleNormal="100" zoomScaleSheetLayoutView="78" workbookViewId="0">
      <selection activeCell="M87" sqref="M87"/>
    </sheetView>
  </sheetViews>
  <sheetFormatPr defaultRowHeight="12.75" customHeight="1"/>
  <cols>
    <col min="1" max="1" width="4.7265625" customWidth="1"/>
    <col min="2" max="2" width="6.7265625" customWidth="1"/>
    <col min="3" max="3" width="23.26953125" customWidth="1"/>
    <col min="4" max="8" width="17.7265625" customWidth="1"/>
    <col min="9" max="9" width="20.453125" customWidth="1"/>
    <col min="10" max="10" width="16.453125" customWidth="1"/>
    <col min="11" max="11" width="17.7265625" customWidth="1"/>
    <col min="12" max="12" width="16.1796875" customWidth="1"/>
    <col min="13" max="13" width="17.7265625" customWidth="1"/>
    <col min="14" max="14" width="16.7265625" customWidth="1"/>
    <col min="15" max="15" width="16.81640625" customWidth="1"/>
    <col min="16" max="16" width="24.453125" customWidth="1"/>
    <col min="17" max="17" width="9.1796875" customWidth="1"/>
    <col min="23" max="23" width="9.1796875" customWidth="1"/>
  </cols>
  <sheetData>
    <row r="1" spans="1:16" ht="20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nk of 28</v>
      </c>
    </row>
    <row r="2" spans="1:16" ht="17.5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6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.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0</v>
      </c>
      <c r="P5" s="1"/>
    </row>
    <row r="6" spans="1:16" ht="15.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108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/>
      <c r="E9" s="39"/>
      <c r="F9" s="39"/>
      <c r="G9" s="39"/>
      <c r="H9" s="39"/>
      <c r="I9" s="40"/>
      <c r="J9" s="41"/>
      <c r="O9" s="42"/>
      <c r="P9" s="4"/>
    </row>
    <row r="10" spans="1:16" ht="13">
      <c r="C10" s="145" t="s">
        <v>226</v>
      </c>
      <c r="D10" s="43"/>
      <c r="E10" s="12" t="s">
        <v>51</v>
      </c>
      <c r="F10" s="42"/>
      <c r="G10" s="44"/>
      <c r="H10" s="44"/>
      <c r="I10" s="45">
        <f>+PSO.WS.F.BPU.ATRR.Projected!L19</f>
        <v>2020</v>
      </c>
      <c r="J10" s="41"/>
      <c r="K10" s="20" t="s">
        <v>52</v>
      </c>
      <c r="O10" s="4"/>
      <c r="P10" s="4"/>
    </row>
    <row r="11" spans="1:16" ht="12.5">
      <c r="C11" s="46" t="s">
        <v>53</v>
      </c>
      <c r="D11" s="47">
        <v>2017</v>
      </c>
      <c r="E11" s="46" t="s">
        <v>54</v>
      </c>
      <c r="F11" s="44"/>
      <c r="G11" s="7"/>
      <c r="H11" s="7"/>
      <c r="I11" s="48">
        <f>IF(G5="",0,PSO.WS.F.BPU.ATRR.Projected!F$13)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 ht="12.5">
      <c r="C12" s="46" t="s">
        <v>55</v>
      </c>
      <c r="D12" s="43">
        <v>4</v>
      </c>
      <c r="E12" s="46" t="s">
        <v>56</v>
      </c>
      <c r="F12" s="44"/>
      <c r="G12" s="7"/>
      <c r="H12" s="7"/>
      <c r="I12" s="50">
        <f>PSO.WS.F.BPU.ATRR.Projected!$F$81</f>
        <v>0.11505633525681883</v>
      </c>
      <c r="J12" s="51"/>
      <c r="K12" t="s">
        <v>57</v>
      </c>
      <c r="O12" s="4"/>
      <c r="P12" s="4"/>
    </row>
    <row r="13" spans="1:16" ht="12.5">
      <c r="C13" s="46" t="s">
        <v>58</v>
      </c>
      <c r="D13" s="48">
        <f>+PSO.WS.F.BPU.ATRR.Projected!F$93</f>
        <v>43</v>
      </c>
      <c r="E13" s="46" t="s">
        <v>59</v>
      </c>
      <c r="F13" s="44"/>
      <c r="G13" s="7"/>
      <c r="H13" s="7"/>
      <c r="I13" s="50">
        <f>IF(G5="",I12,PSO.WS.F.BPU.ATRR.Projected!$F$80)</f>
        <v>0.11505633525681883</v>
      </c>
      <c r="J13" s="51"/>
      <c r="K13" s="20" t="s">
        <v>60</v>
      </c>
      <c r="L13" s="11"/>
      <c r="M13" s="11"/>
      <c r="N13" s="11"/>
      <c r="O13" s="4"/>
      <c r="P13" s="4"/>
    </row>
    <row r="14" spans="1:16" ht="13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9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 ht="12.5">
      <c r="B17" s="9"/>
      <c r="C17" s="62">
        <f>IF(D11= "","-",D11)</f>
        <v>2017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48" si="0">IF(K17&lt;&gt;0,+G17-K17,0)</f>
        <v>0</v>
      </c>
      <c r="M17" s="134"/>
      <c r="N17" s="66">
        <f t="shared" ref="N17:N48" si="1">IF(M17&lt;&gt;0,+H17-M17,0)</f>
        <v>0</v>
      </c>
      <c r="O17" s="67">
        <f t="shared" ref="O17:O48" si="2">+N17-L17</f>
        <v>0</v>
      </c>
      <c r="P17" s="4"/>
    </row>
    <row r="18" spans="2:16" ht="12.5">
      <c r="B18" s="9" t="str">
        <f>IF(D18=F17,"","IU")</f>
        <v/>
      </c>
      <c r="C18" s="62">
        <f>IF(D11="","-",+C17+1)</f>
        <v>2018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 ht="12.5">
      <c r="B19" s="9" t="str">
        <f>IF(D19=F18,"","IU")</f>
        <v/>
      </c>
      <c r="C19" s="62">
        <f>IF(D11="","-",+C18+1)</f>
        <v>2019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 ht="12.5">
      <c r="B20" s="9" t="str">
        <f t="shared" ref="B20:B72" si="8">IF(D20=F19,"","IU")</f>
        <v/>
      </c>
      <c r="C20" s="62">
        <f>IF(D11="","-",+C19+1)</f>
        <v>2020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 ht="12.5">
      <c r="B21" s="9" t="str">
        <f t="shared" si="8"/>
        <v/>
      </c>
      <c r="C21" s="62">
        <f>IF(D11="","-",+C20+1)</f>
        <v>2021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 ht="12.5">
      <c r="B22" s="9" t="str">
        <f t="shared" si="8"/>
        <v/>
      </c>
      <c r="C22" s="62">
        <f>IF(D11="","-",+C21+1)</f>
        <v>2022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 ht="12.5">
      <c r="B23" s="9" t="str">
        <f t="shared" si="8"/>
        <v/>
      </c>
      <c r="C23" s="62">
        <f>IF(D11="","-",+C22+1)</f>
        <v>2023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 ht="12.5">
      <c r="B24" s="9" t="str">
        <f t="shared" si="8"/>
        <v/>
      </c>
      <c r="C24" s="62">
        <f>IF(D11="","-",+C23+1)</f>
        <v>2024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 ht="12.5">
      <c r="B25" s="9" t="str">
        <f t="shared" si="8"/>
        <v/>
      </c>
      <c r="C25" s="62">
        <f>IF(D11="","-",+C24+1)</f>
        <v>2025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 ht="12.5">
      <c r="B26" s="9" t="str">
        <f t="shared" si="8"/>
        <v/>
      </c>
      <c r="C26" s="62">
        <f>IF(D11="","-",+C25+1)</f>
        <v>2026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 ht="12.5">
      <c r="B27" s="9" t="str">
        <f t="shared" si="8"/>
        <v/>
      </c>
      <c r="C27" s="62">
        <f>IF(D11="","-",+C26+1)</f>
        <v>2027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 ht="12.5">
      <c r="B28" s="9" t="str">
        <f t="shared" si="8"/>
        <v/>
      </c>
      <c r="C28" s="62">
        <f>IF(D11="","-",+C27+1)</f>
        <v>2028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 ht="12.5">
      <c r="B29" s="9" t="str">
        <f t="shared" si="8"/>
        <v/>
      </c>
      <c r="C29" s="62">
        <f>IF(D11="","-",+C28+1)</f>
        <v>2029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 ht="12.5">
      <c r="B30" s="9" t="str">
        <f t="shared" si="8"/>
        <v/>
      </c>
      <c r="C30" s="62">
        <f>IF(D11="","-",+C29+1)</f>
        <v>2030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 ht="12.5">
      <c r="B31" s="9" t="str">
        <f t="shared" si="8"/>
        <v/>
      </c>
      <c r="C31" s="62">
        <f>IF(D11="","-",+C30+1)</f>
        <v>2031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 ht="12.5">
      <c r="B32" s="9" t="str">
        <f t="shared" si="8"/>
        <v/>
      </c>
      <c r="C32" s="62">
        <f>IF(D11="","-",+C31+1)</f>
        <v>2032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 ht="12.5">
      <c r="B33" s="9" t="str">
        <f t="shared" si="8"/>
        <v/>
      </c>
      <c r="C33" s="62">
        <f>IF(D11="","-",+C32+1)</f>
        <v>2033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 ht="12.5">
      <c r="B34" s="9" t="str">
        <f t="shared" si="8"/>
        <v/>
      </c>
      <c r="C34" s="62">
        <f>IF(D11="","-",+C33+1)</f>
        <v>2034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 ht="12.5">
      <c r="B35" s="9" t="str">
        <f t="shared" si="8"/>
        <v/>
      </c>
      <c r="C35" s="62">
        <f>IF(D11="","-",+C34+1)</f>
        <v>2035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 ht="12.5">
      <c r="B36" s="9" t="str">
        <f t="shared" si="8"/>
        <v/>
      </c>
      <c r="C36" s="62">
        <f>IF(D11="","-",+C35+1)</f>
        <v>2036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 ht="12.5">
      <c r="B37" s="9" t="str">
        <f t="shared" si="8"/>
        <v/>
      </c>
      <c r="C37" s="62">
        <f>IF(D11="","-",+C36+1)</f>
        <v>2037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 ht="12.5">
      <c r="B38" s="9" t="str">
        <f t="shared" si="8"/>
        <v/>
      </c>
      <c r="C38" s="62">
        <f>IF(D11="","-",+C37+1)</f>
        <v>2038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 ht="12.5">
      <c r="B39" s="9" t="str">
        <f t="shared" si="8"/>
        <v/>
      </c>
      <c r="C39" s="62">
        <f>IF(D11="","-",+C38+1)</f>
        <v>2039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 ht="12.5">
      <c r="B40" s="9" t="str">
        <f t="shared" si="8"/>
        <v/>
      </c>
      <c r="C40" s="62">
        <f>IF(D11="","-",+C39+1)</f>
        <v>2040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 ht="12.5">
      <c r="B41" s="9" t="str">
        <f t="shared" si="8"/>
        <v/>
      </c>
      <c r="C41" s="62">
        <f>IF(D11="","-",+C40+1)</f>
        <v>2041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 ht="12.5">
      <c r="B42" s="9" t="str">
        <f t="shared" si="8"/>
        <v/>
      </c>
      <c r="C42" s="62">
        <f>IF(D11="","-",+C41+1)</f>
        <v>2042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 ht="12.5">
      <c r="B43" s="9" t="str">
        <f t="shared" si="8"/>
        <v/>
      </c>
      <c r="C43" s="62">
        <f>IF(D11="","-",+C42+1)</f>
        <v>2043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 ht="12.5">
      <c r="B44" s="9" t="str">
        <f t="shared" si="8"/>
        <v/>
      </c>
      <c r="C44" s="62">
        <f>IF(D11="","-",+C43+1)</f>
        <v>2044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 ht="12.5">
      <c r="B45" s="9" t="str">
        <f t="shared" si="8"/>
        <v/>
      </c>
      <c r="C45" s="62">
        <f>IF(D11="","-",+C44+1)</f>
        <v>2045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 ht="12.5">
      <c r="B46" s="9" t="str">
        <f t="shared" si="8"/>
        <v/>
      </c>
      <c r="C46" s="62">
        <f>IF(D11="","-",+C45+1)</f>
        <v>2046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 ht="12.5">
      <c r="B47" s="9" t="str">
        <f t="shared" si="8"/>
        <v/>
      </c>
      <c r="C47" s="62">
        <f>IF(D11="","-",+C46+1)</f>
        <v>2047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 ht="12.5">
      <c r="B48" s="9" t="str">
        <f t="shared" si="8"/>
        <v/>
      </c>
      <c r="C48" s="62">
        <f>IF(D11="","-",+C47+1)</f>
        <v>2048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 ht="12.5">
      <c r="B49" s="9" t="str">
        <f t="shared" si="8"/>
        <v/>
      </c>
      <c r="C49" s="62">
        <f>IF(D11="","-",+C48+1)</f>
        <v>2049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ref="L49:L72" si="9">IF(K49&lt;&gt;0,+G49-K49,0)</f>
        <v>0</v>
      </c>
      <c r="M49" s="132"/>
      <c r="N49" s="67">
        <f t="shared" ref="N49:N72" si="10">IF(M49&lt;&gt;0,+H49-M49,0)</f>
        <v>0</v>
      </c>
      <c r="O49" s="67">
        <f t="shared" ref="O49:O72" si="11">+N49-L49</f>
        <v>0</v>
      </c>
      <c r="P49" s="4"/>
    </row>
    <row r="50" spans="2:16" ht="12.5">
      <c r="B50" s="9" t="str">
        <f t="shared" si="8"/>
        <v/>
      </c>
      <c r="C50" s="62">
        <f>IF(D11="","-",+C49+1)</f>
        <v>2050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9"/>
        <v>0</v>
      </c>
      <c r="M50" s="132"/>
      <c r="N50" s="67">
        <f t="shared" si="10"/>
        <v>0</v>
      </c>
      <c r="O50" s="67">
        <f t="shared" si="11"/>
        <v>0</v>
      </c>
      <c r="P50" s="4"/>
    </row>
    <row r="51" spans="2:16" ht="12.5">
      <c r="B51" s="9" t="str">
        <f t="shared" si="8"/>
        <v/>
      </c>
      <c r="C51" s="62">
        <f>IF(D11="","-",+C50+1)</f>
        <v>2051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9"/>
        <v>0</v>
      </c>
      <c r="M51" s="132"/>
      <c r="N51" s="67">
        <f t="shared" si="10"/>
        <v>0</v>
      </c>
      <c r="O51" s="67">
        <f t="shared" si="11"/>
        <v>0</v>
      </c>
      <c r="P51" s="4"/>
    </row>
    <row r="52" spans="2:16" ht="12.5">
      <c r="B52" s="9" t="str">
        <f t="shared" si="8"/>
        <v/>
      </c>
      <c r="C52" s="62">
        <f>IF(D11="","-",+C51+1)</f>
        <v>2052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9"/>
        <v>0</v>
      </c>
      <c r="M52" s="132"/>
      <c r="N52" s="67">
        <f t="shared" si="10"/>
        <v>0</v>
      </c>
      <c r="O52" s="67">
        <f t="shared" si="11"/>
        <v>0</v>
      </c>
      <c r="P52" s="4"/>
    </row>
    <row r="53" spans="2:16" ht="12.5">
      <c r="B53" s="9" t="str">
        <f t="shared" si="8"/>
        <v/>
      </c>
      <c r="C53" s="62">
        <f>IF(D11="","-",+C52+1)</f>
        <v>2053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9"/>
        <v>0</v>
      </c>
      <c r="M53" s="132"/>
      <c r="N53" s="67">
        <f t="shared" si="10"/>
        <v>0</v>
      </c>
      <c r="O53" s="67">
        <f t="shared" si="11"/>
        <v>0</v>
      </c>
      <c r="P53" s="4"/>
    </row>
    <row r="54" spans="2:16" ht="12.5">
      <c r="B54" s="9" t="str">
        <f t="shared" si="8"/>
        <v/>
      </c>
      <c r="C54" s="62">
        <f>IF(D11="","-",+C53+1)</f>
        <v>2054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9"/>
        <v>0</v>
      </c>
      <c r="M54" s="132"/>
      <c r="N54" s="67">
        <f t="shared" si="10"/>
        <v>0</v>
      </c>
      <c r="O54" s="67">
        <f t="shared" si="11"/>
        <v>0</v>
      </c>
      <c r="P54" s="4"/>
    </row>
    <row r="55" spans="2:16" ht="12.5">
      <c r="B55" s="9" t="str">
        <f t="shared" si="8"/>
        <v/>
      </c>
      <c r="C55" s="62">
        <f>IF(D11="","-",+C54+1)</f>
        <v>2055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9"/>
        <v>0</v>
      </c>
      <c r="M55" s="132"/>
      <c r="N55" s="67">
        <f t="shared" si="10"/>
        <v>0</v>
      </c>
      <c r="O55" s="67">
        <f t="shared" si="11"/>
        <v>0</v>
      </c>
      <c r="P55" s="4"/>
    </row>
    <row r="56" spans="2:16" ht="12.5">
      <c r="B56" s="9" t="str">
        <f t="shared" si="8"/>
        <v/>
      </c>
      <c r="C56" s="62">
        <f>IF(D11="","-",+C55+1)</f>
        <v>2056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9"/>
        <v>0</v>
      </c>
      <c r="M56" s="132"/>
      <c r="N56" s="67">
        <f t="shared" si="10"/>
        <v>0</v>
      </c>
      <c r="O56" s="67">
        <f t="shared" si="11"/>
        <v>0</v>
      </c>
      <c r="P56" s="4"/>
    </row>
    <row r="57" spans="2:16" ht="12.5">
      <c r="B57" s="9" t="str">
        <f t="shared" si="8"/>
        <v/>
      </c>
      <c r="C57" s="62">
        <f>IF(D11="","-",+C56+1)</f>
        <v>2057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9"/>
        <v>0</v>
      </c>
      <c r="M57" s="132"/>
      <c r="N57" s="67">
        <f t="shared" si="10"/>
        <v>0</v>
      </c>
      <c r="O57" s="67">
        <f t="shared" si="11"/>
        <v>0</v>
      </c>
      <c r="P57" s="4"/>
    </row>
    <row r="58" spans="2:16" ht="12.5">
      <c r="B58" s="9" t="str">
        <f t="shared" si="8"/>
        <v/>
      </c>
      <c r="C58" s="62">
        <f>IF(D11="","-",+C57+1)</f>
        <v>2058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9"/>
        <v>0</v>
      </c>
      <c r="M58" s="132"/>
      <c r="N58" s="67">
        <f t="shared" si="10"/>
        <v>0</v>
      </c>
      <c r="O58" s="67">
        <f t="shared" si="11"/>
        <v>0</v>
      </c>
      <c r="P58" s="4"/>
    </row>
    <row r="59" spans="2:16" ht="12.5">
      <c r="B59" s="9" t="str">
        <f t="shared" si="8"/>
        <v/>
      </c>
      <c r="C59" s="62">
        <f>IF(D11="","-",+C58+1)</f>
        <v>2059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9"/>
        <v>0</v>
      </c>
      <c r="M59" s="132"/>
      <c r="N59" s="67">
        <f t="shared" si="10"/>
        <v>0</v>
      </c>
      <c r="O59" s="67">
        <f t="shared" si="11"/>
        <v>0</v>
      </c>
      <c r="P59" s="4"/>
    </row>
    <row r="60" spans="2:16" ht="12.5">
      <c r="B60" s="9" t="str">
        <f t="shared" si="8"/>
        <v/>
      </c>
      <c r="C60" s="62">
        <f>IF(D11="","-",+C59+1)</f>
        <v>2060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9"/>
        <v>0</v>
      </c>
      <c r="M60" s="132"/>
      <c r="N60" s="67">
        <f t="shared" si="10"/>
        <v>0</v>
      </c>
      <c r="O60" s="67">
        <f t="shared" si="11"/>
        <v>0</v>
      </c>
      <c r="P60" s="4"/>
    </row>
    <row r="61" spans="2:16" ht="12.5">
      <c r="B61" s="9" t="str">
        <f t="shared" si="8"/>
        <v/>
      </c>
      <c r="C61" s="62">
        <f>IF(D11="","-",+C60+1)</f>
        <v>2061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9"/>
        <v>0</v>
      </c>
      <c r="M61" s="132"/>
      <c r="N61" s="67">
        <f t="shared" si="10"/>
        <v>0</v>
      </c>
      <c r="O61" s="67">
        <f t="shared" si="11"/>
        <v>0</v>
      </c>
      <c r="P61" s="4"/>
    </row>
    <row r="62" spans="2:16" ht="12.5">
      <c r="B62" s="9" t="str">
        <f t="shared" si="8"/>
        <v/>
      </c>
      <c r="C62" s="62">
        <f>IF(D11="","-",+C61+1)</f>
        <v>2062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9"/>
        <v>0</v>
      </c>
      <c r="M62" s="132"/>
      <c r="N62" s="67">
        <f t="shared" si="10"/>
        <v>0</v>
      </c>
      <c r="O62" s="67">
        <f t="shared" si="11"/>
        <v>0</v>
      </c>
      <c r="P62" s="4"/>
    </row>
    <row r="63" spans="2:16" ht="12.5">
      <c r="B63" s="9" t="str">
        <f t="shared" si="8"/>
        <v/>
      </c>
      <c r="C63" s="62">
        <f>IF(D11="","-",+C62+1)</f>
        <v>2063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9"/>
        <v>0</v>
      </c>
      <c r="M63" s="132"/>
      <c r="N63" s="67">
        <f t="shared" si="10"/>
        <v>0</v>
      </c>
      <c r="O63" s="67">
        <f t="shared" si="11"/>
        <v>0</v>
      </c>
      <c r="P63" s="4"/>
    </row>
    <row r="64" spans="2:16" ht="12.5">
      <c r="B64" s="9" t="str">
        <f t="shared" si="8"/>
        <v/>
      </c>
      <c r="C64" s="62">
        <f>IF(D11="","-",+C63+1)</f>
        <v>2064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9"/>
        <v>0</v>
      </c>
      <c r="M64" s="132"/>
      <c r="N64" s="67">
        <f t="shared" si="10"/>
        <v>0</v>
      </c>
      <c r="O64" s="67">
        <f t="shared" si="11"/>
        <v>0</v>
      </c>
      <c r="P64" s="4"/>
    </row>
    <row r="65" spans="2:16" ht="12.5">
      <c r="B65" s="9" t="str">
        <f t="shared" si="8"/>
        <v/>
      </c>
      <c r="C65" s="62">
        <f>IF(D11="","-",+C64+1)</f>
        <v>2065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9"/>
        <v>0</v>
      </c>
      <c r="M65" s="132"/>
      <c r="N65" s="67">
        <f t="shared" si="10"/>
        <v>0</v>
      </c>
      <c r="O65" s="67">
        <f t="shared" si="11"/>
        <v>0</v>
      </c>
      <c r="P65" s="4"/>
    </row>
    <row r="66" spans="2:16" ht="12.5">
      <c r="B66" s="9" t="str">
        <f t="shared" si="8"/>
        <v/>
      </c>
      <c r="C66" s="62">
        <f>IF(D11="","-",+C65+1)</f>
        <v>2066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9"/>
        <v>0</v>
      </c>
      <c r="M66" s="132"/>
      <c r="N66" s="67">
        <f t="shared" si="10"/>
        <v>0</v>
      </c>
      <c r="O66" s="67">
        <f t="shared" si="11"/>
        <v>0</v>
      </c>
      <c r="P66" s="4"/>
    </row>
    <row r="67" spans="2:16" ht="12.5">
      <c r="B67" s="9" t="str">
        <f t="shared" si="8"/>
        <v/>
      </c>
      <c r="C67" s="62">
        <f>IF(D11="","-",+C66+1)</f>
        <v>2067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9"/>
        <v>0</v>
      </c>
      <c r="M67" s="132"/>
      <c r="N67" s="67">
        <f t="shared" si="10"/>
        <v>0</v>
      </c>
      <c r="O67" s="67">
        <f t="shared" si="11"/>
        <v>0</v>
      </c>
      <c r="P67" s="4"/>
    </row>
    <row r="68" spans="2:16" ht="12.5">
      <c r="B68" s="9" t="str">
        <f t="shared" si="8"/>
        <v/>
      </c>
      <c r="C68" s="62">
        <f>IF(D11="","-",+C67+1)</f>
        <v>2068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9"/>
        <v>0</v>
      </c>
      <c r="M68" s="132"/>
      <c r="N68" s="67">
        <f t="shared" si="10"/>
        <v>0</v>
      </c>
      <c r="O68" s="67">
        <f t="shared" si="11"/>
        <v>0</v>
      </c>
      <c r="P68" s="4"/>
    </row>
    <row r="69" spans="2:16" ht="12.5">
      <c r="B69" s="9" t="str">
        <f t="shared" si="8"/>
        <v/>
      </c>
      <c r="C69" s="62">
        <f>IF(D11="","-",+C68+1)</f>
        <v>2069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9"/>
        <v>0</v>
      </c>
      <c r="M69" s="132"/>
      <c r="N69" s="67">
        <f t="shared" si="10"/>
        <v>0</v>
      </c>
      <c r="O69" s="67">
        <f t="shared" si="11"/>
        <v>0</v>
      </c>
      <c r="P69" s="4"/>
    </row>
    <row r="70" spans="2:16" ht="12.5">
      <c r="B70" s="9" t="str">
        <f t="shared" si="8"/>
        <v/>
      </c>
      <c r="C70" s="62">
        <f>IF(D11="","-",+C69+1)</f>
        <v>2070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9"/>
        <v>0</v>
      </c>
      <c r="M70" s="132"/>
      <c r="N70" s="67">
        <f t="shared" si="10"/>
        <v>0</v>
      </c>
      <c r="O70" s="67">
        <f t="shared" si="11"/>
        <v>0</v>
      </c>
      <c r="P70" s="4"/>
    </row>
    <row r="71" spans="2:16" ht="12.5">
      <c r="B71" s="9" t="str">
        <f t="shared" si="8"/>
        <v/>
      </c>
      <c r="C71" s="62">
        <f>IF(D11="","-",+C70+1)</f>
        <v>2071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9"/>
        <v>0</v>
      </c>
      <c r="M71" s="132"/>
      <c r="N71" s="67">
        <f t="shared" si="10"/>
        <v>0</v>
      </c>
      <c r="O71" s="67">
        <f t="shared" si="11"/>
        <v>0</v>
      </c>
      <c r="P71" s="4"/>
    </row>
    <row r="72" spans="2:16" ht="13" thickBot="1">
      <c r="B72" s="9" t="str">
        <f t="shared" si="8"/>
        <v/>
      </c>
      <c r="C72" s="72">
        <f>IF(D11="","-",+C71+1)</f>
        <v>2072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9"/>
        <v>0</v>
      </c>
      <c r="M72" s="133"/>
      <c r="N72" s="76">
        <f t="shared" si="10"/>
        <v>0</v>
      </c>
      <c r="O72" s="76">
        <f t="shared" si="11"/>
        <v>0</v>
      </c>
      <c r="P72" s="4"/>
    </row>
    <row r="73" spans="2:16" ht="12.5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 ht="12.5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 ht="13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 ht="13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 ht="13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 ht="13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 ht="12.5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7.5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 ht="12.5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 ht="12.5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nk of 28</v>
      </c>
    </row>
    <row r="84" spans="1:16" ht="17.5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7.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6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2020</v>
      </c>
      <c r="M86" s="119" t="s">
        <v>8</v>
      </c>
      <c r="N86" s="120" t="s">
        <v>153</v>
      </c>
      <c r="O86" s="121" t="s">
        <v>10</v>
      </c>
      <c r="P86" s="1"/>
    </row>
    <row r="87" spans="1:16" ht="15.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inset project name here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>
        <f>+D9</f>
        <v>0</v>
      </c>
      <c r="E91" s="89"/>
      <c r="F91" s="89"/>
      <c r="G91" s="89"/>
      <c r="H91" s="89"/>
      <c r="I91" s="89"/>
      <c r="J91" s="89"/>
      <c r="K91" s="90"/>
      <c r="P91" s="42"/>
    </row>
    <row r="92" spans="1:16" ht="13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2020</v>
      </c>
      <c r="K92" s="41"/>
      <c r="L92" s="20" t="s">
        <v>95</v>
      </c>
      <c r="P92" s="4"/>
    </row>
    <row r="93" spans="1:16" ht="12.5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 ht="12.5">
      <c r="C94" s="46" t="s">
        <v>55</v>
      </c>
      <c r="D94" s="101">
        <f>IF(D11=I10,"",D12)</f>
        <v>4</v>
      </c>
      <c r="E94" s="46" t="s">
        <v>56</v>
      </c>
      <c r="F94" s="44"/>
      <c r="G94" s="44"/>
      <c r="J94" s="50">
        <f>'PSO.WS.G.BPU.ATRR.True-up'!$F$81</f>
        <v>0.11529725072669136</v>
      </c>
      <c r="K94" s="51"/>
      <c r="L94" t="s">
        <v>96</v>
      </c>
      <c r="P94" s="4"/>
    </row>
    <row r="95" spans="1:16" ht="12.5">
      <c r="C95" s="46" t="s">
        <v>58</v>
      </c>
      <c r="D95" s="48">
        <f>'PSO.WS.G.BPU.ATRR.True-up'!F$93</f>
        <v>43</v>
      </c>
      <c r="E95" s="46" t="s">
        <v>59</v>
      </c>
      <c r="F95" s="44"/>
      <c r="G95" s="44"/>
      <c r="J95" s="50">
        <f>IF(H87="",J94,'PSO.WS.G.BPU.ATRR.True-up'!$F$80)</f>
        <v>0.11529725072669136</v>
      </c>
      <c r="K95" s="11"/>
      <c r="L95" s="20" t="s">
        <v>60</v>
      </c>
      <c r="M95" s="11"/>
      <c r="N95" s="11"/>
      <c r="O95" s="11"/>
      <c r="P95" s="4"/>
    </row>
    <row r="96" spans="1:16" ht="13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9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 ht="12.5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12">IF(L99&lt;&gt;0,+H99-L99,0)</f>
        <v>0</v>
      </c>
      <c r="N99" s="131"/>
      <c r="O99" s="66">
        <f t="shared" ref="O99:O130" si="13">IF(N99&lt;&gt;0,+I99-N99,0)</f>
        <v>0</v>
      </c>
      <c r="P99" s="66">
        <f t="shared" ref="P99:P130" si="14">+O99-M99</f>
        <v>0</v>
      </c>
    </row>
    <row r="100" spans="1:16" ht="12.5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5">+J$94*G100+E100</f>
        <v>0</v>
      </c>
      <c r="I100" s="139">
        <f t="shared" ref="I100:I154" si="16">+J$95*G100+E100</f>
        <v>0</v>
      </c>
      <c r="J100" s="67">
        <f t="shared" ref="J100:J130" si="17">+I100-H100</f>
        <v>0</v>
      </c>
      <c r="K100" s="67"/>
      <c r="L100" s="132"/>
      <c r="M100" s="67">
        <f t="shared" si="12"/>
        <v>0</v>
      </c>
      <c r="N100" s="132"/>
      <c r="O100" s="67">
        <f t="shared" si="13"/>
        <v>0</v>
      </c>
      <c r="P100" s="67">
        <f t="shared" si="14"/>
        <v>0</v>
      </c>
    </row>
    <row r="101" spans="1:16" ht="12.5">
      <c r="B101" s="9" t="str">
        <f t="shared" ref="B101:B154" si="18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9">IF(+J$96&lt;F100,J$96,D101)</f>
        <v>0</v>
      </c>
      <c r="F101" s="68">
        <f t="shared" ref="F101:F154" si="20">+D101-E101</f>
        <v>0</v>
      </c>
      <c r="G101" s="68">
        <f t="shared" ref="G101:G154" si="21">+(F101+D101)/2</f>
        <v>0</v>
      </c>
      <c r="H101" s="130">
        <f t="shared" si="15"/>
        <v>0</v>
      </c>
      <c r="I101" s="139">
        <f t="shared" si="16"/>
        <v>0</v>
      </c>
      <c r="J101" s="67">
        <f t="shared" si="17"/>
        <v>0</v>
      </c>
      <c r="K101" s="67"/>
      <c r="L101" s="132"/>
      <c r="M101" s="67">
        <f t="shared" si="12"/>
        <v>0</v>
      </c>
      <c r="N101" s="132"/>
      <c r="O101" s="67">
        <f t="shared" si="13"/>
        <v>0</v>
      </c>
      <c r="P101" s="67">
        <f t="shared" si="14"/>
        <v>0</v>
      </c>
    </row>
    <row r="102" spans="1:16" ht="12.5">
      <c r="B102" s="9" t="str">
        <f t="shared" si="18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9"/>
        <v>0</v>
      </c>
      <c r="F102" s="68">
        <f t="shared" si="20"/>
        <v>0</v>
      </c>
      <c r="G102" s="68">
        <f t="shared" si="21"/>
        <v>0</v>
      </c>
      <c r="H102" s="130">
        <f t="shared" si="15"/>
        <v>0</v>
      </c>
      <c r="I102" s="139">
        <f t="shared" si="16"/>
        <v>0</v>
      </c>
      <c r="J102" s="67">
        <f t="shared" si="17"/>
        <v>0</v>
      </c>
      <c r="K102" s="67"/>
      <c r="L102" s="132"/>
      <c r="M102" s="67">
        <f t="shared" si="12"/>
        <v>0</v>
      </c>
      <c r="N102" s="132"/>
      <c r="O102" s="67">
        <f t="shared" si="13"/>
        <v>0</v>
      </c>
      <c r="P102" s="67">
        <f t="shared" si="14"/>
        <v>0</v>
      </c>
    </row>
    <row r="103" spans="1:16" ht="12.5">
      <c r="B103" s="9" t="str">
        <f t="shared" si="18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9"/>
        <v>0</v>
      </c>
      <c r="F103" s="68">
        <f t="shared" si="20"/>
        <v>0</v>
      </c>
      <c r="G103" s="68">
        <f t="shared" si="21"/>
        <v>0</v>
      </c>
      <c r="H103" s="130">
        <f t="shared" si="15"/>
        <v>0</v>
      </c>
      <c r="I103" s="139">
        <f t="shared" si="16"/>
        <v>0</v>
      </c>
      <c r="J103" s="67">
        <f t="shared" si="17"/>
        <v>0</v>
      </c>
      <c r="K103" s="67"/>
      <c r="L103" s="132"/>
      <c r="M103" s="67">
        <f t="shared" si="12"/>
        <v>0</v>
      </c>
      <c r="N103" s="132"/>
      <c r="O103" s="67">
        <f t="shared" si="13"/>
        <v>0</v>
      </c>
      <c r="P103" s="67">
        <f t="shared" si="14"/>
        <v>0</v>
      </c>
    </row>
    <row r="104" spans="1:16" ht="12.5">
      <c r="B104" s="9" t="str">
        <f t="shared" si="18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9"/>
        <v>0</v>
      </c>
      <c r="F104" s="68">
        <f t="shared" si="20"/>
        <v>0</v>
      </c>
      <c r="G104" s="68">
        <f t="shared" si="21"/>
        <v>0</v>
      </c>
      <c r="H104" s="130">
        <f t="shared" si="15"/>
        <v>0</v>
      </c>
      <c r="I104" s="139">
        <f t="shared" si="16"/>
        <v>0</v>
      </c>
      <c r="J104" s="67">
        <f t="shared" si="17"/>
        <v>0</v>
      </c>
      <c r="K104" s="67"/>
      <c r="L104" s="132"/>
      <c r="M104" s="67">
        <f t="shared" si="12"/>
        <v>0</v>
      </c>
      <c r="N104" s="132"/>
      <c r="O104" s="67">
        <f t="shared" si="13"/>
        <v>0</v>
      </c>
      <c r="P104" s="67">
        <f t="shared" si="14"/>
        <v>0</v>
      </c>
    </row>
    <row r="105" spans="1:16" ht="12.5">
      <c r="B105" s="9" t="str">
        <f t="shared" si="18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9"/>
        <v>0</v>
      </c>
      <c r="F105" s="68">
        <f t="shared" si="20"/>
        <v>0</v>
      </c>
      <c r="G105" s="68">
        <f t="shared" si="21"/>
        <v>0</v>
      </c>
      <c r="H105" s="130">
        <f t="shared" si="15"/>
        <v>0</v>
      </c>
      <c r="I105" s="139">
        <f t="shared" si="16"/>
        <v>0</v>
      </c>
      <c r="J105" s="67">
        <f t="shared" si="17"/>
        <v>0</v>
      </c>
      <c r="K105" s="67"/>
      <c r="L105" s="132"/>
      <c r="M105" s="67">
        <f t="shared" si="12"/>
        <v>0</v>
      </c>
      <c r="N105" s="132"/>
      <c r="O105" s="67">
        <f t="shared" si="13"/>
        <v>0</v>
      </c>
      <c r="P105" s="67">
        <f t="shared" si="14"/>
        <v>0</v>
      </c>
    </row>
    <row r="106" spans="1:16" ht="12.5">
      <c r="B106" s="9" t="str">
        <f t="shared" si="18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9"/>
        <v>0</v>
      </c>
      <c r="F106" s="68">
        <f t="shared" si="20"/>
        <v>0</v>
      </c>
      <c r="G106" s="68">
        <f t="shared" si="21"/>
        <v>0</v>
      </c>
      <c r="H106" s="130">
        <f t="shared" si="15"/>
        <v>0</v>
      </c>
      <c r="I106" s="139">
        <f t="shared" si="16"/>
        <v>0</v>
      </c>
      <c r="J106" s="67">
        <f t="shared" si="17"/>
        <v>0</v>
      </c>
      <c r="K106" s="67"/>
      <c r="L106" s="132"/>
      <c r="M106" s="67">
        <f t="shared" si="12"/>
        <v>0</v>
      </c>
      <c r="N106" s="132"/>
      <c r="O106" s="67">
        <f t="shared" si="13"/>
        <v>0</v>
      </c>
      <c r="P106" s="67">
        <f t="shared" si="14"/>
        <v>0</v>
      </c>
    </row>
    <row r="107" spans="1:16" ht="12.5">
      <c r="B107" s="9" t="str">
        <f t="shared" si="18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9"/>
        <v>0</v>
      </c>
      <c r="F107" s="68">
        <f t="shared" si="20"/>
        <v>0</v>
      </c>
      <c r="G107" s="68">
        <f t="shared" si="21"/>
        <v>0</v>
      </c>
      <c r="H107" s="130">
        <f t="shared" si="15"/>
        <v>0</v>
      </c>
      <c r="I107" s="139">
        <f t="shared" si="16"/>
        <v>0</v>
      </c>
      <c r="J107" s="67">
        <f t="shared" si="17"/>
        <v>0</v>
      </c>
      <c r="K107" s="67"/>
      <c r="L107" s="132"/>
      <c r="M107" s="67">
        <f t="shared" si="12"/>
        <v>0</v>
      </c>
      <c r="N107" s="132"/>
      <c r="O107" s="67">
        <f t="shared" si="13"/>
        <v>0</v>
      </c>
      <c r="P107" s="67">
        <f t="shared" si="14"/>
        <v>0</v>
      </c>
    </row>
    <row r="108" spans="1:16" ht="12.5">
      <c r="B108" s="9" t="str">
        <f t="shared" si="18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9"/>
        <v>0</v>
      </c>
      <c r="F108" s="68">
        <f t="shared" si="20"/>
        <v>0</v>
      </c>
      <c r="G108" s="68">
        <f t="shared" si="21"/>
        <v>0</v>
      </c>
      <c r="H108" s="130">
        <f t="shared" si="15"/>
        <v>0</v>
      </c>
      <c r="I108" s="139">
        <f t="shared" si="16"/>
        <v>0</v>
      </c>
      <c r="J108" s="67">
        <f t="shared" si="17"/>
        <v>0</v>
      </c>
      <c r="K108" s="67"/>
      <c r="L108" s="132"/>
      <c r="M108" s="67">
        <f t="shared" si="12"/>
        <v>0</v>
      </c>
      <c r="N108" s="132"/>
      <c r="O108" s="67">
        <f t="shared" si="13"/>
        <v>0</v>
      </c>
      <c r="P108" s="67">
        <f t="shared" si="14"/>
        <v>0</v>
      </c>
    </row>
    <row r="109" spans="1:16" ht="12.5">
      <c r="B109" s="9" t="str">
        <f t="shared" si="18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9"/>
        <v>0</v>
      </c>
      <c r="F109" s="68">
        <f t="shared" si="20"/>
        <v>0</v>
      </c>
      <c r="G109" s="68">
        <f t="shared" si="21"/>
        <v>0</v>
      </c>
      <c r="H109" s="130">
        <f t="shared" si="15"/>
        <v>0</v>
      </c>
      <c r="I109" s="139">
        <f t="shared" si="16"/>
        <v>0</v>
      </c>
      <c r="J109" s="67">
        <f t="shared" si="17"/>
        <v>0</v>
      </c>
      <c r="K109" s="67"/>
      <c r="L109" s="132"/>
      <c r="M109" s="67">
        <f t="shared" si="12"/>
        <v>0</v>
      </c>
      <c r="N109" s="132"/>
      <c r="O109" s="67">
        <f t="shared" si="13"/>
        <v>0</v>
      </c>
      <c r="P109" s="67">
        <f t="shared" si="14"/>
        <v>0</v>
      </c>
    </row>
    <row r="110" spans="1:16" ht="12.5">
      <c r="B110" s="9" t="str">
        <f t="shared" si="18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9"/>
        <v>0</v>
      </c>
      <c r="F110" s="68">
        <f t="shared" si="20"/>
        <v>0</v>
      </c>
      <c r="G110" s="68">
        <f t="shared" si="21"/>
        <v>0</v>
      </c>
      <c r="H110" s="130">
        <f t="shared" si="15"/>
        <v>0</v>
      </c>
      <c r="I110" s="139">
        <f t="shared" si="16"/>
        <v>0</v>
      </c>
      <c r="J110" s="67">
        <f t="shared" si="17"/>
        <v>0</v>
      </c>
      <c r="K110" s="67"/>
      <c r="L110" s="132"/>
      <c r="M110" s="67">
        <f t="shared" si="12"/>
        <v>0</v>
      </c>
      <c r="N110" s="132"/>
      <c r="O110" s="67">
        <f t="shared" si="13"/>
        <v>0</v>
      </c>
      <c r="P110" s="67">
        <f t="shared" si="14"/>
        <v>0</v>
      </c>
    </row>
    <row r="111" spans="1:16" ht="12.5">
      <c r="B111" s="9" t="str">
        <f t="shared" si="18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9"/>
        <v>0</v>
      </c>
      <c r="F111" s="68">
        <f t="shared" si="20"/>
        <v>0</v>
      </c>
      <c r="G111" s="68">
        <f t="shared" si="21"/>
        <v>0</v>
      </c>
      <c r="H111" s="130">
        <f t="shared" si="15"/>
        <v>0</v>
      </c>
      <c r="I111" s="139">
        <f t="shared" si="16"/>
        <v>0</v>
      </c>
      <c r="J111" s="67">
        <f t="shared" si="17"/>
        <v>0</v>
      </c>
      <c r="K111" s="67"/>
      <c r="L111" s="132"/>
      <c r="M111" s="67">
        <f t="shared" si="12"/>
        <v>0</v>
      </c>
      <c r="N111" s="132"/>
      <c r="O111" s="67">
        <f t="shared" si="13"/>
        <v>0</v>
      </c>
      <c r="P111" s="67">
        <f t="shared" si="14"/>
        <v>0</v>
      </c>
    </row>
    <row r="112" spans="1:16" ht="12.5">
      <c r="B112" s="9" t="str">
        <f t="shared" si="18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9"/>
        <v>0</v>
      </c>
      <c r="F112" s="68">
        <f t="shared" si="20"/>
        <v>0</v>
      </c>
      <c r="G112" s="68">
        <f t="shared" si="21"/>
        <v>0</v>
      </c>
      <c r="H112" s="130">
        <f t="shared" si="15"/>
        <v>0</v>
      </c>
      <c r="I112" s="139">
        <f t="shared" si="16"/>
        <v>0</v>
      </c>
      <c r="J112" s="67">
        <f t="shared" si="17"/>
        <v>0</v>
      </c>
      <c r="K112" s="67"/>
      <c r="L112" s="132"/>
      <c r="M112" s="67">
        <f t="shared" si="12"/>
        <v>0</v>
      </c>
      <c r="N112" s="132"/>
      <c r="O112" s="67">
        <f t="shared" si="13"/>
        <v>0</v>
      </c>
      <c r="P112" s="67">
        <f t="shared" si="14"/>
        <v>0</v>
      </c>
    </row>
    <row r="113" spans="2:16" ht="12.5">
      <c r="B113" s="9" t="str">
        <f t="shared" si="18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9"/>
        <v>0</v>
      </c>
      <c r="F113" s="68">
        <f t="shared" si="20"/>
        <v>0</v>
      </c>
      <c r="G113" s="68">
        <f t="shared" si="21"/>
        <v>0</v>
      </c>
      <c r="H113" s="130">
        <f t="shared" si="15"/>
        <v>0</v>
      </c>
      <c r="I113" s="139">
        <f t="shared" si="16"/>
        <v>0</v>
      </c>
      <c r="J113" s="67">
        <f t="shared" si="17"/>
        <v>0</v>
      </c>
      <c r="K113" s="67"/>
      <c r="L113" s="132"/>
      <c r="M113" s="67">
        <f t="shared" si="12"/>
        <v>0</v>
      </c>
      <c r="N113" s="132"/>
      <c r="O113" s="67">
        <f t="shared" si="13"/>
        <v>0</v>
      </c>
      <c r="P113" s="67">
        <f t="shared" si="14"/>
        <v>0</v>
      </c>
    </row>
    <row r="114" spans="2:16" ht="12.5">
      <c r="B114" s="9" t="str">
        <f t="shared" si="18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9"/>
        <v>0</v>
      </c>
      <c r="F114" s="68">
        <f t="shared" si="20"/>
        <v>0</v>
      </c>
      <c r="G114" s="68">
        <f t="shared" si="21"/>
        <v>0</v>
      </c>
      <c r="H114" s="130">
        <f t="shared" si="15"/>
        <v>0</v>
      </c>
      <c r="I114" s="139">
        <f t="shared" si="16"/>
        <v>0</v>
      </c>
      <c r="J114" s="67">
        <f t="shared" si="17"/>
        <v>0</v>
      </c>
      <c r="K114" s="67"/>
      <c r="L114" s="132"/>
      <c r="M114" s="67">
        <f t="shared" si="12"/>
        <v>0</v>
      </c>
      <c r="N114" s="132"/>
      <c r="O114" s="67">
        <f t="shared" si="13"/>
        <v>0</v>
      </c>
      <c r="P114" s="67">
        <f t="shared" si="14"/>
        <v>0</v>
      </c>
    </row>
    <row r="115" spans="2:16" ht="12.5">
      <c r="B115" s="9" t="str">
        <f t="shared" si="18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9"/>
        <v>0</v>
      </c>
      <c r="F115" s="68">
        <f t="shared" si="20"/>
        <v>0</v>
      </c>
      <c r="G115" s="68">
        <f t="shared" si="21"/>
        <v>0</v>
      </c>
      <c r="H115" s="130">
        <f t="shared" si="15"/>
        <v>0</v>
      </c>
      <c r="I115" s="139">
        <f t="shared" si="16"/>
        <v>0</v>
      </c>
      <c r="J115" s="67">
        <f t="shared" si="17"/>
        <v>0</v>
      </c>
      <c r="K115" s="67"/>
      <c r="L115" s="132"/>
      <c r="M115" s="67">
        <f t="shared" si="12"/>
        <v>0</v>
      </c>
      <c r="N115" s="132"/>
      <c r="O115" s="67">
        <f t="shared" si="13"/>
        <v>0</v>
      </c>
      <c r="P115" s="67">
        <f t="shared" si="14"/>
        <v>0</v>
      </c>
    </row>
    <row r="116" spans="2:16" ht="12.5">
      <c r="B116" s="9" t="str">
        <f t="shared" si="18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9"/>
        <v>0</v>
      </c>
      <c r="F116" s="68">
        <f t="shared" si="20"/>
        <v>0</v>
      </c>
      <c r="G116" s="68">
        <f t="shared" si="21"/>
        <v>0</v>
      </c>
      <c r="H116" s="130">
        <f t="shared" si="15"/>
        <v>0</v>
      </c>
      <c r="I116" s="139">
        <f t="shared" si="16"/>
        <v>0</v>
      </c>
      <c r="J116" s="67">
        <f t="shared" si="17"/>
        <v>0</v>
      </c>
      <c r="K116" s="67"/>
      <c r="L116" s="132"/>
      <c r="M116" s="67">
        <f t="shared" si="12"/>
        <v>0</v>
      </c>
      <c r="N116" s="132"/>
      <c r="O116" s="67">
        <f t="shared" si="13"/>
        <v>0</v>
      </c>
      <c r="P116" s="67">
        <f t="shared" si="14"/>
        <v>0</v>
      </c>
    </row>
    <row r="117" spans="2:16" ht="12.5">
      <c r="B117" s="9" t="str">
        <f t="shared" si="18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9"/>
        <v>0</v>
      </c>
      <c r="F117" s="68">
        <f t="shared" si="20"/>
        <v>0</v>
      </c>
      <c r="G117" s="68">
        <f t="shared" si="21"/>
        <v>0</v>
      </c>
      <c r="H117" s="130">
        <f t="shared" si="15"/>
        <v>0</v>
      </c>
      <c r="I117" s="139">
        <f t="shared" si="16"/>
        <v>0</v>
      </c>
      <c r="J117" s="67">
        <f t="shared" si="17"/>
        <v>0</v>
      </c>
      <c r="K117" s="67"/>
      <c r="L117" s="132"/>
      <c r="M117" s="67">
        <f t="shared" si="12"/>
        <v>0</v>
      </c>
      <c r="N117" s="132"/>
      <c r="O117" s="67">
        <f t="shared" si="13"/>
        <v>0</v>
      </c>
      <c r="P117" s="67">
        <f t="shared" si="14"/>
        <v>0</v>
      </c>
    </row>
    <row r="118" spans="2:16" ht="12.5">
      <c r="B118" s="9" t="str">
        <f t="shared" si="18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9"/>
        <v>0</v>
      </c>
      <c r="F118" s="68">
        <f t="shared" si="20"/>
        <v>0</v>
      </c>
      <c r="G118" s="68">
        <f t="shared" si="21"/>
        <v>0</v>
      </c>
      <c r="H118" s="130">
        <f t="shared" si="15"/>
        <v>0</v>
      </c>
      <c r="I118" s="139">
        <f t="shared" si="16"/>
        <v>0</v>
      </c>
      <c r="J118" s="67">
        <f t="shared" si="17"/>
        <v>0</v>
      </c>
      <c r="K118" s="67"/>
      <c r="L118" s="132"/>
      <c r="M118" s="67">
        <f t="shared" si="12"/>
        <v>0</v>
      </c>
      <c r="N118" s="132"/>
      <c r="O118" s="67">
        <f t="shared" si="13"/>
        <v>0</v>
      </c>
      <c r="P118" s="67">
        <f t="shared" si="14"/>
        <v>0</v>
      </c>
    </row>
    <row r="119" spans="2:16" ht="12.5">
      <c r="B119" s="9" t="str">
        <f t="shared" si="18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9"/>
        <v>0</v>
      </c>
      <c r="F119" s="68">
        <f t="shared" si="20"/>
        <v>0</v>
      </c>
      <c r="G119" s="68">
        <f t="shared" si="21"/>
        <v>0</v>
      </c>
      <c r="H119" s="130">
        <f t="shared" si="15"/>
        <v>0</v>
      </c>
      <c r="I119" s="139">
        <f t="shared" si="16"/>
        <v>0</v>
      </c>
      <c r="J119" s="67">
        <f t="shared" si="17"/>
        <v>0</v>
      </c>
      <c r="K119" s="67"/>
      <c r="L119" s="132"/>
      <c r="M119" s="67">
        <f t="shared" si="12"/>
        <v>0</v>
      </c>
      <c r="N119" s="132"/>
      <c r="O119" s="67">
        <f t="shared" si="13"/>
        <v>0</v>
      </c>
      <c r="P119" s="67">
        <f t="shared" si="14"/>
        <v>0</v>
      </c>
    </row>
    <row r="120" spans="2:16" ht="12.5">
      <c r="B120" s="9" t="str">
        <f t="shared" si="18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9"/>
        <v>0</v>
      </c>
      <c r="F120" s="68">
        <f t="shared" si="20"/>
        <v>0</v>
      </c>
      <c r="G120" s="68">
        <f t="shared" si="21"/>
        <v>0</v>
      </c>
      <c r="H120" s="130">
        <f t="shared" si="15"/>
        <v>0</v>
      </c>
      <c r="I120" s="139">
        <f t="shared" si="16"/>
        <v>0</v>
      </c>
      <c r="J120" s="67">
        <f t="shared" si="17"/>
        <v>0</v>
      </c>
      <c r="K120" s="67"/>
      <c r="L120" s="132"/>
      <c r="M120" s="67">
        <f t="shared" si="12"/>
        <v>0</v>
      </c>
      <c r="N120" s="132"/>
      <c r="O120" s="67">
        <f t="shared" si="13"/>
        <v>0</v>
      </c>
      <c r="P120" s="67">
        <f t="shared" si="14"/>
        <v>0</v>
      </c>
    </row>
    <row r="121" spans="2:16" ht="12.5">
      <c r="B121" s="9" t="str">
        <f t="shared" si="18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9"/>
        <v>0</v>
      </c>
      <c r="F121" s="68">
        <f t="shared" si="20"/>
        <v>0</v>
      </c>
      <c r="G121" s="68">
        <f t="shared" si="21"/>
        <v>0</v>
      </c>
      <c r="H121" s="130">
        <f t="shared" si="15"/>
        <v>0</v>
      </c>
      <c r="I121" s="139">
        <f t="shared" si="16"/>
        <v>0</v>
      </c>
      <c r="J121" s="67">
        <f t="shared" si="17"/>
        <v>0</v>
      </c>
      <c r="K121" s="67"/>
      <c r="L121" s="132"/>
      <c r="M121" s="67">
        <f t="shared" si="12"/>
        <v>0</v>
      </c>
      <c r="N121" s="132"/>
      <c r="O121" s="67">
        <f t="shared" si="13"/>
        <v>0</v>
      </c>
      <c r="P121" s="67">
        <f t="shared" si="14"/>
        <v>0</v>
      </c>
    </row>
    <row r="122" spans="2:16" ht="12.5">
      <c r="B122" s="9" t="str">
        <f t="shared" si="18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9"/>
        <v>0</v>
      </c>
      <c r="F122" s="68">
        <f t="shared" si="20"/>
        <v>0</v>
      </c>
      <c r="G122" s="68">
        <f t="shared" si="21"/>
        <v>0</v>
      </c>
      <c r="H122" s="130">
        <f t="shared" si="15"/>
        <v>0</v>
      </c>
      <c r="I122" s="139">
        <f t="shared" si="16"/>
        <v>0</v>
      </c>
      <c r="J122" s="67">
        <f t="shared" si="17"/>
        <v>0</v>
      </c>
      <c r="K122" s="67"/>
      <c r="L122" s="132"/>
      <c r="M122" s="67">
        <f t="shared" si="12"/>
        <v>0</v>
      </c>
      <c r="N122" s="132"/>
      <c r="O122" s="67">
        <f t="shared" si="13"/>
        <v>0</v>
      </c>
      <c r="P122" s="67">
        <f t="shared" si="14"/>
        <v>0</v>
      </c>
    </row>
    <row r="123" spans="2:16" ht="12.5">
      <c r="B123" s="9" t="str">
        <f t="shared" si="18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9"/>
        <v>0</v>
      </c>
      <c r="F123" s="68">
        <f t="shared" si="20"/>
        <v>0</v>
      </c>
      <c r="G123" s="68">
        <f t="shared" si="21"/>
        <v>0</v>
      </c>
      <c r="H123" s="130">
        <f t="shared" si="15"/>
        <v>0</v>
      </c>
      <c r="I123" s="139">
        <f t="shared" si="16"/>
        <v>0</v>
      </c>
      <c r="J123" s="67">
        <f t="shared" si="17"/>
        <v>0</v>
      </c>
      <c r="K123" s="67"/>
      <c r="L123" s="132"/>
      <c r="M123" s="67">
        <f t="shared" si="12"/>
        <v>0</v>
      </c>
      <c r="N123" s="132"/>
      <c r="O123" s="67">
        <f t="shared" si="13"/>
        <v>0</v>
      </c>
      <c r="P123" s="67">
        <f t="shared" si="14"/>
        <v>0</v>
      </c>
    </row>
    <row r="124" spans="2:16" ht="12.5">
      <c r="B124" s="9" t="str">
        <f t="shared" si="18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9"/>
        <v>0</v>
      </c>
      <c r="F124" s="68">
        <f t="shared" si="20"/>
        <v>0</v>
      </c>
      <c r="G124" s="68">
        <f t="shared" si="21"/>
        <v>0</v>
      </c>
      <c r="H124" s="130">
        <f t="shared" si="15"/>
        <v>0</v>
      </c>
      <c r="I124" s="139">
        <f t="shared" si="16"/>
        <v>0</v>
      </c>
      <c r="J124" s="67">
        <f t="shared" si="17"/>
        <v>0</v>
      </c>
      <c r="K124" s="67"/>
      <c r="L124" s="132"/>
      <c r="M124" s="67">
        <f t="shared" si="12"/>
        <v>0</v>
      </c>
      <c r="N124" s="132"/>
      <c r="O124" s="67">
        <f t="shared" si="13"/>
        <v>0</v>
      </c>
      <c r="P124" s="67">
        <f t="shared" si="14"/>
        <v>0</v>
      </c>
    </row>
    <row r="125" spans="2:16" ht="12.5">
      <c r="B125" s="9" t="str">
        <f t="shared" si="18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9"/>
        <v>0</v>
      </c>
      <c r="F125" s="68">
        <f t="shared" si="20"/>
        <v>0</v>
      </c>
      <c r="G125" s="68">
        <f t="shared" si="21"/>
        <v>0</v>
      </c>
      <c r="H125" s="130">
        <f t="shared" si="15"/>
        <v>0</v>
      </c>
      <c r="I125" s="139">
        <f t="shared" si="16"/>
        <v>0</v>
      </c>
      <c r="J125" s="67">
        <f t="shared" si="17"/>
        <v>0</v>
      </c>
      <c r="K125" s="67"/>
      <c r="L125" s="132"/>
      <c r="M125" s="67">
        <f t="shared" si="12"/>
        <v>0</v>
      </c>
      <c r="N125" s="132"/>
      <c r="O125" s="67">
        <f t="shared" si="13"/>
        <v>0</v>
      </c>
      <c r="P125" s="67">
        <f t="shared" si="14"/>
        <v>0</v>
      </c>
    </row>
    <row r="126" spans="2:16" ht="12.5">
      <c r="B126" s="9" t="str">
        <f t="shared" si="18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9"/>
        <v>0</v>
      </c>
      <c r="F126" s="68">
        <f t="shared" si="20"/>
        <v>0</v>
      </c>
      <c r="G126" s="68">
        <f t="shared" si="21"/>
        <v>0</v>
      </c>
      <c r="H126" s="130">
        <f t="shared" si="15"/>
        <v>0</v>
      </c>
      <c r="I126" s="139">
        <f t="shared" si="16"/>
        <v>0</v>
      </c>
      <c r="J126" s="67">
        <f t="shared" si="17"/>
        <v>0</v>
      </c>
      <c r="K126" s="67"/>
      <c r="L126" s="132"/>
      <c r="M126" s="67">
        <f t="shared" si="12"/>
        <v>0</v>
      </c>
      <c r="N126" s="132"/>
      <c r="O126" s="67">
        <f t="shared" si="13"/>
        <v>0</v>
      </c>
      <c r="P126" s="67">
        <f t="shared" si="14"/>
        <v>0</v>
      </c>
    </row>
    <row r="127" spans="2:16" ht="12.5">
      <c r="B127" s="9" t="str">
        <f t="shared" si="18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9"/>
        <v>0</v>
      </c>
      <c r="F127" s="68">
        <f t="shared" si="20"/>
        <v>0</v>
      </c>
      <c r="G127" s="68">
        <f t="shared" si="21"/>
        <v>0</v>
      </c>
      <c r="H127" s="130">
        <f t="shared" si="15"/>
        <v>0</v>
      </c>
      <c r="I127" s="139">
        <f t="shared" si="16"/>
        <v>0</v>
      </c>
      <c r="J127" s="67">
        <f t="shared" si="17"/>
        <v>0</v>
      </c>
      <c r="K127" s="67"/>
      <c r="L127" s="132"/>
      <c r="M127" s="67">
        <f t="shared" si="12"/>
        <v>0</v>
      </c>
      <c r="N127" s="132"/>
      <c r="O127" s="67">
        <f t="shared" si="13"/>
        <v>0</v>
      </c>
      <c r="P127" s="67">
        <f t="shared" si="14"/>
        <v>0</v>
      </c>
    </row>
    <row r="128" spans="2:16" ht="12.5">
      <c r="B128" s="9" t="str">
        <f t="shared" si="18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9"/>
        <v>0</v>
      </c>
      <c r="F128" s="68">
        <f t="shared" si="20"/>
        <v>0</v>
      </c>
      <c r="G128" s="68">
        <f t="shared" si="21"/>
        <v>0</v>
      </c>
      <c r="H128" s="130">
        <f t="shared" si="15"/>
        <v>0</v>
      </c>
      <c r="I128" s="139">
        <f t="shared" si="16"/>
        <v>0</v>
      </c>
      <c r="J128" s="67">
        <f t="shared" si="17"/>
        <v>0</v>
      </c>
      <c r="K128" s="67"/>
      <c r="L128" s="132"/>
      <c r="M128" s="67">
        <f t="shared" si="12"/>
        <v>0</v>
      </c>
      <c r="N128" s="132"/>
      <c r="O128" s="67">
        <f t="shared" si="13"/>
        <v>0</v>
      </c>
      <c r="P128" s="67">
        <f t="shared" si="14"/>
        <v>0</v>
      </c>
    </row>
    <row r="129" spans="2:16" ht="12.5">
      <c r="B129" s="9" t="str">
        <f t="shared" si="18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9"/>
        <v>0</v>
      </c>
      <c r="F129" s="68">
        <f t="shared" si="20"/>
        <v>0</v>
      </c>
      <c r="G129" s="68">
        <f t="shared" si="21"/>
        <v>0</v>
      </c>
      <c r="H129" s="130">
        <f t="shared" si="15"/>
        <v>0</v>
      </c>
      <c r="I129" s="139">
        <f t="shared" si="16"/>
        <v>0</v>
      </c>
      <c r="J129" s="67">
        <f t="shared" si="17"/>
        <v>0</v>
      </c>
      <c r="K129" s="67"/>
      <c r="L129" s="132"/>
      <c r="M129" s="67">
        <f t="shared" si="12"/>
        <v>0</v>
      </c>
      <c r="N129" s="132"/>
      <c r="O129" s="67">
        <f t="shared" si="13"/>
        <v>0</v>
      </c>
      <c r="P129" s="67">
        <f t="shared" si="14"/>
        <v>0</v>
      </c>
    </row>
    <row r="130" spans="2:16" ht="12.5">
      <c r="B130" s="9" t="str">
        <f t="shared" si="18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9"/>
        <v>0</v>
      </c>
      <c r="F130" s="68">
        <f t="shared" si="20"/>
        <v>0</v>
      </c>
      <c r="G130" s="68">
        <f t="shared" si="21"/>
        <v>0</v>
      </c>
      <c r="H130" s="130">
        <f t="shared" si="15"/>
        <v>0</v>
      </c>
      <c r="I130" s="139">
        <f t="shared" si="16"/>
        <v>0</v>
      </c>
      <c r="J130" s="67">
        <f t="shared" si="17"/>
        <v>0</v>
      </c>
      <c r="K130" s="67"/>
      <c r="L130" s="132"/>
      <c r="M130" s="67">
        <f t="shared" si="12"/>
        <v>0</v>
      </c>
      <c r="N130" s="132"/>
      <c r="O130" s="67">
        <f t="shared" si="13"/>
        <v>0</v>
      </c>
      <c r="P130" s="67">
        <f t="shared" si="14"/>
        <v>0</v>
      </c>
    </row>
    <row r="131" spans="2:16" ht="12.5">
      <c r="B131" s="9" t="str">
        <f t="shared" si="18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9"/>
        <v>0</v>
      </c>
      <c r="F131" s="68">
        <f t="shared" si="20"/>
        <v>0</v>
      </c>
      <c r="G131" s="68">
        <f t="shared" si="21"/>
        <v>0</v>
      </c>
      <c r="H131" s="130">
        <f t="shared" si="15"/>
        <v>0</v>
      </c>
      <c r="I131" s="139">
        <f t="shared" si="16"/>
        <v>0</v>
      </c>
      <c r="J131" s="67">
        <f t="shared" ref="J131:J154" si="22">+I541-H541</f>
        <v>0</v>
      </c>
      <c r="K131" s="67"/>
      <c r="L131" s="132"/>
      <c r="M131" s="67">
        <f t="shared" ref="M131:M154" si="23">IF(L541&lt;&gt;0,+H541-L541,0)</f>
        <v>0</v>
      </c>
      <c r="N131" s="132"/>
      <c r="O131" s="67">
        <f t="shared" ref="O131:O154" si="24">IF(N541&lt;&gt;0,+I541-N541,0)</f>
        <v>0</v>
      </c>
      <c r="P131" s="67">
        <f t="shared" ref="P131:P154" si="25">+O541-M541</f>
        <v>0</v>
      </c>
    </row>
    <row r="132" spans="2:16" ht="12.5">
      <c r="B132" s="9" t="str">
        <f t="shared" si="18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9"/>
        <v>0</v>
      </c>
      <c r="F132" s="68">
        <f t="shared" si="20"/>
        <v>0</v>
      </c>
      <c r="G132" s="68">
        <f t="shared" si="21"/>
        <v>0</v>
      </c>
      <c r="H132" s="130">
        <f t="shared" si="15"/>
        <v>0</v>
      </c>
      <c r="I132" s="139">
        <f t="shared" si="16"/>
        <v>0</v>
      </c>
      <c r="J132" s="67">
        <f t="shared" si="22"/>
        <v>0</v>
      </c>
      <c r="K132" s="67"/>
      <c r="L132" s="132"/>
      <c r="M132" s="67">
        <f t="shared" si="23"/>
        <v>0</v>
      </c>
      <c r="N132" s="132"/>
      <c r="O132" s="67">
        <f t="shared" si="24"/>
        <v>0</v>
      </c>
      <c r="P132" s="67">
        <f t="shared" si="25"/>
        <v>0</v>
      </c>
    </row>
    <row r="133" spans="2:16" ht="12.5">
      <c r="B133" s="9" t="str">
        <f t="shared" si="18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9"/>
        <v>0</v>
      </c>
      <c r="F133" s="68">
        <f t="shared" si="20"/>
        <v>0</v>
      </c>
      <c r="G133" s="68">
        <f t="shared" si="21"/>
        <v>0</v>
      </c>
      <c r="H133" s="130">
        <f t="shared" si="15"/>
        <v>0</v>
      </c>
      <c r="I133" s="139">
        <f t="shared" si="16"/>
        <v>0</v>
      </c>
      <c r="J133" s="67">
        <f t="shared" si="22"/>
        <v>0</v>
      </c>
      <c r="K133" s="67"/>
      <c r="L133" s="132"/>
      <c r="M133" s="67">
        <f t="shared" si="23"/>
        <v>0</v>
      </c>
      <c r="N133" s="132"/>
      <c r="O133" s="67">
        <f t="shared" si="24"/>
        <v>0</v>
      </c>
      <c r="P133" s="67">
        <f t="shared" si="25"/>
        <v>0</v>
      </c>
    </row>
    <row r="134" spans="2:16" ht="12.5">
      <c r="B134" s="9" t="str">
        <f t="shared" si="18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9"/>
        <v>0</v>
      </c>
      <c r="F134" s="68">
        <f t="shared" si="20"/>
        <v>0</v>
      </c>
      <c r="G134" s="68">
        <f t="shared" si="21"/>
        <v>0</v>
      </c>
      <c r="H134" s="130">
        <f t="shared" si="15"/>
        <v>0</v>
      </c>
      <c r="I134" s="139">
        <f t="shared" si="16"/>
        <v>0</v>
      </c>
      <c r="J134" s="67">
        <f t="shared" si="22"/>
        <v>0</v>
      </c>
      <c r="K134" s="67"/>
      <c r="L134" s="132"/>
      <c r="M134" s="67">
        <f t="shared" si="23"/>
        <v>0</v>
      </c>
      <c r="N134" s="132"/>
      <c r="O134" s="67">
        <f t="shared" si="24"/>
        <v>0</v>
      </c>
      <c r="P134" s="67">
        <f t="shared" si="25"/>
        <v>0</v>
      </c>
    </row>
    <row r="135" spans="2:16" ht="12.5">
      <c r="B135" s="9" t="str">
        <f t="shared" si="18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9"/>
        <v>0</v>
      </c>
      <c r="F135" s="68">
        <f t="shared" si="20"/>
        <v>0</v>
      </c>
      <c r="G135" s="68">
        <f t="shared" si="21"/>
        <v>0</v>
      </c>
      <c r="H135" s="130">
        <f t="shared" si="15"/>
        <v>0</v>
      </c>
      <c r="I135" s="139">
        <f t="shared" si="16"/>
        <v>0</v>
      </c>
      <c r="J135" s="67">
        <f t="shared" si="22"/>
        <v>0</v>
      </c>
      <c r="K135" s="67"/>
      <c r="L135" s="132"/>
      <c r="M135" s="67">
        <f t="shared" si="23"/>
        <v>0</v>
      </c>
      <c r="N135" s="132"/>
      <c r="O135" s="67">
        <f t="shared" si="24"/>
        <v>0</v>
      </c>
      <c r="P135" s="67">
        <f t="shared" si="25"/>
        <v>0</v>
      </c>
    </row>
    <row r="136" spans="2:16" ht="12.5">
      <c r="B136" s="9" t="str">
        <f t="shared" si="18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9"/>
        <v>0</v>
      </c>
      <c r="F136" s="68">
        <f t="shared" si="20"/>
        <v>0</v>
      </c>
      <c r="G136" s="68">
        <f t="shared" si="21"/>
        <v>0</v>
      </c>
      <c r="H136" s="130">
        <f t="shared" si="15"/>
        <v>0</v>
      </c>
      <c r="I136" s="139">
        <f t="shared" si="16"/>
        <v>0</v>
      </c>
      <c r="J136" s="67">
        <f t="shared" si="22"/>
        <v>0</v>
      </c>
      <c r="K136" s="67"/>
      <c r="L136" s="132"/>
      <c r="M136" s="67">
        <f t="shared" si="23"/>
        <v>0</v>
      </c>
      <c r="N136" s="132"/>
      <c r="O136" s="67">
        <f t="shared" si="24"/>
        <v>0</v>
      </c>
      <c r="P136" s="67">
        <f t="shared" si="25"/>
        <v>0</v>
      </c>
    </row>
    <row r="137" spans="2:16" ht="12.5">
      <c r="B137" s="9" t="str">
        <f t="shared" si="18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9"/>
        <v>0</v>
      </c>
      <c r="F137" s="68">
        <f t="shared" si="20"/>
        <v>0</v>
      </c>
      <c r="G137" s="68">
        <f t="shared" si="21"/>
        <v>0</v>
      </c>
      <c r="H137" s="130">
        <f t="shared" si="15"/>
        <v>0</v>
      </c>
      <c r="I137" s="139">
        <f t="shared" si="16"/>
        <v>0</v>
      </c>
      <c r="J137" s="67">
        <f t="shared" si="22"/>
        <v>0</v>
      </c>
      <c r="K137" s="67"/>
      <c r="L137" s="132"/>
      <c r="M137" s="67">
        <f t="shared" si="23"/>
        <v>0</v>
      </c>
      <c r="N137" s="132"/>
      <c r="O137" s="67">
        <f t="shared" si="24"/>
        <v>0</v>
      </c>
      <c r="P137" s="67">
        <f t="shared" si="25"/>
        <v>0</v>
      </c>
    </row>
    <row r="138" spans="2:16" ht="12.5">
      <c r="B138" s="9" t="str">
        <f t="shared" si="18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9"/>
        <v>0</v>
      </c>
      <c r="F138" s="68">
        <f t="shared" si="20"/>
        <v>0</v>
      </c>
      <c r="G138" s="68">
        <f t="shared" si="21"/>
        <v>0</v>
      </c>
      <c r="H138" s="130">
        <f t="shared" si="15"/>
        <v>0</v>
      </c>
      <c r="I138" s="139">
        <f t="shared" si="16"/>
        <v>0</v>
      </c>
      <c r="J138" s="67">
        <f t="shared" si="22"/>
        <v>0</v>
      </c>
      <c r="K138" s="67"/>
      <c r="L138" s="132"/>
      <c r="M138" s="67">
        <f t="shared" si="23"/>
        <v>0</v>
      </c>
      <c r="N138" s="132"/>
      <c r="O138" s="67">
        <f t="shared" si="24"/>
        <v>0</v>
      </c>
      <c r="P138" s="67">
        <f t="shared" si="25"/>
        <v>0</v>
      </c>
    </row>
    <row r="139" spans="2:16" ht="12.5">
      <c r="B139" s="9" t="str">
        <f t="shared" si="18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9"/>
        <v>0</v>
      </c>
      <c r="F139" s="68">
        <f t="shared" si="20"/>
        <v>0</v>
      </c>
      <c r="G139" s="68">
        <f t="shared" si="21"/>
        <v>0</v>
      </c>
      <c r="H139" s="130">
        <f t="shared" si="15"/>
        <v>0</v>
      </c>
      <c r="I139" s="139">
        <f t="shared" si="16"/>
        <v>0</v>
      </c>
      <c r="J139" s="67">
        <f t="shared" si="22"/>
        <v>0</v>
      </c>
      <c r="K139" s="67"/>
      <c r="L139" s="132"/>
      <c r="M139" s="67">
        <f t="shared" si="23"/>
        <v>0</v>
      </c>
      <c r="N139" s="132"/>
      <c r="O139" s="67">
        <f t="shared" si="24"/>
        <v>0</v>
      </c>
      <c r="P139" s="67">
        <f t="shared" si="25"/>
        <v>0</v>
      </c>
    </row>
    <row r="140" spans="2:16" ht="12.5">
      <c r="B140" s="9" t="str">
        <f t="shared" si="18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9"/>
        <v>0</v>
      </c>
      <c r="F140" s="68">
        <f t="shared" si="20"/>
        <v>0</v>
      </c>
      <c r="G140" s="68">
        <f t="shared" si="21"/>
        <v>0</v>
      </c>
      <c r="H140" s="130">
        <f t="shared" si="15"/>
        <v>0</v>
      </c>
      <c r="I140" s="139">
        <f t="shared" si="16"/>
        <v>0</v>
      </c>
      <c r="J140" s="67">
        <f t="shared" si="22"/>
        <v>0</v>
      </c>
      <c r="K140" s="67"/>
      <c r="L140" s="132"/>
      <c r="M140" s="67">
        <f t="shared" si="23"/>
        <v>0</v>
      </c>
      <c r="N140" s="132"/>
      <c r="O140" s="67">
        <f t="shared" si="24"/>
        <v>0</v>
      </c>
      <c r="P140" s="67">
        <f t="shared" si="25"/>
        <v>0</v>
      </c>
    </row>
    <row r="141" spans="2:16" ht="12.5">
      <c r="B141" s="9" t="str">
        <f t="shared" si="18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9"/>
        <v>0</v>
      </c>
      <c r="F141" s="68">
        <f t="shared" si="20"/>
        <v>0</v>
      </c>
      <c r="G141" s="68">
        <f t="shared" si="21"/>
        <v>0</v>
      </c>
      <c r="H141" s="130">
        <f t="shared" si="15"/>
        <v>0</v>
      </c>
      <c r="I141" s="139">
        <f t="shared" si="16"/>
        <v>0</v>
      </c>
      <c r="J141" s="67">
        <f t="shared" si="22"/>
        <v>0</v>
      </c>
      <c r="K141" s="67"/>
      <c r="L141" s="132"/>
      <c r="M141" s="67">
        <f t="shared" si="23"/>
        <v>0</v>
      </c>
      <c r="N141" s="132"/>
      <c r="O141" s="67">
        <f t="shared" si="24"/>
        <v>0</v>
      </c>
      <c r="P141" s="67">
        <f t="shared" si="25"/>
        <v>0</v>
      </c>
    </row>
    <row r="142" spans="2:16" ht="12.5">
      <c r="B142" s="9" t="str">
        <f t="shared" si="18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9"/>
        <v>0</v>
      </c>
      <c r="F142" s="68">
        <f t="shared" si="20"/>
        <v>0</v>
      </c>
      <c r="G142" s="68">
        <f t="shared" si="21"/>
        <v>0</v>
      </c>
      <c r="H142" s="130">
        <f t="shared" si="15"/>
        <v>0</v>
      </c>
      <c r="I142" s="139">
        <f t="shared" si="16"/>
        <v>0</v>
      </c>
      <c r="J142" s="67">
        <f t="shared" si="22"/>
        <v>0</v>
      </c>
      <c r="K142" s="67"/>
      <c r="L142" s="132"/>
      <c r="M142" s="67">
        <f t="shared" si="23"/>
        <v>0</v>
      </c>
      <c r="N142" s="132"/>
      <c r="O142" s="67">
        <f t="shared" si="24"/>
        <v>0</v>
      </c>
      <c r="P142" s="67">
        <f t="shared" si="25"/>
        <v>0</v>
      </c>
    </row>
    <row r="143" spans="2:16" ht="12.5">
      <c r="B143" s="9" t="str">
        <f t="shared" si="18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9"/>
        <v>0</v>
      </c>
      <c r="F143" s="68">
        <f t="shared" si="20"/>
        <v>0</v>
      </c>
      <c r="G143" s="68">
        <f t="shared" si="21"/>
        <v>0</v>
      </c>
      <c r="H143" s="130">
        <f t="shared" si="15"/>
        <v>0</v>
      </c>
      <c r="I143" s="139">
        <f t="shared" si="16"/>
        <v>0</v>
      </c>
      <c r="J143" s="67">
        <f t="shared" si="22"/>
        <v>0</v>
      </c>
      <c r="K143" s="67"/>
      <c r="L143" s="132"/>
      <c r="M143" s="67">
        <f t="shared" si="23"/>
        <v>0</v>
      </c>
      <c r="N143" s="132"/>
      <c r="O143" s="67">
        <f t="shared" si="24"/>
        <v>0</v>
      </c>
      <c r="P143" s="67">
        <f t="shared" si="25"/>
        <v>0</v>
      </c>
    </row>
    <row r="144" spans="2:16" ht="12.5">
      <c r="B144" s="9" t="str">
        <f t="shared" si="18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9"/>
        <v>0</v>
      </c>
      <c r="F144" s="68">
        <f t="shared" si="20"/>
        <v>0</v>
      </c>
      <c r="G144" s="68">
        <f t="shared" si="21"/>
        <v>0</v>
      </c>
      <c r="H144" s="130">
        <f t="shared" si="15"/>
        <v>0</v>
      </c>
      <c r="I144" s="139">
        <f t="shared" si="16"/>
        <v>0</v>
      </c>
      <c r="J144" s="67">
        <f t="shared" si="22"/>
        <v>0</v>
      </c>
      <c r="K144" s="67"/>
      <c r="L144" s="132"/>
      <c r="M144" s="67">
        <f t="shared" si="23"/>
        <v>0</v>
      </c>
      <c r="N144" s="132"/>
      <c r="O144" s="67">
        <f t="shared" si="24"/>
        <v>0</v>
      </c>
      <c r="P144" s="67">
        <f t="shared" si="25"/>
        <v>0</v>
      </c>
    </row>
    <row r="145" spans="2:16" ht="12.5">
      <c r="B145" s="9" t="str">
        <f t="shared" si="18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9"/>
        <v>0</v>
      </c>
      <c r="F145" s="68">
        <f t="shared" si="20"/>
        <v>0</v>
      </c>
      <c r="G145" s="68">
        <f t="shared" si="21"/>
        <v>0</v>
      </c>
      <c r="H145" s="130">
        <f t="shared" si="15"/>
        <v>0</v>
      </c>
      <c r="I145" s="139">
        <f t="shared" si="16"/>
        <v>0</v>
      </c>
      <c r="J145" s="67">
        <f t="shared" si="22"/>
        <v>0</v>
      </c>
      <c r="K145" s="67"/>
      <c r="L145" s="132"/>
      <c r="M145" s="67">
        <f t="shared" si="23"/>
        <v>0</v>
      </c>
      <c r="N145" s="132"/>
      <c r="O145" s="67">
        <f t="shared" si="24"/>
        <v>0</v>
      </c>
      <c r="P145" s="67">
        <f t="shared" si="25"/>
        <v>0</v>
      </c>
    </row>
    <row r="146" spans="2:16" ht="12.5">
      <c r="B146" s="9" t="str">
        <f t="shared" si="18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9"/>
        <v>0</v>
      </c>
      <c r="F146" s="68">
        <f t="shared" si="20"/>
        <v>0</v>
      </c>
      <c r="G146" s="68">
        <f t="shared" si="21"/>
        <v>0</v>
      </c>
      <c r="H146" s="130">
        <f t="shared" si="15"/>
        <v>0</v>
      </c>
      <c r="I146" s="139">
        <f t="shared" si="16"/>
        <v>0</v>
      </c>
      <c r="J146" s="67">
        <f t="shared" si="22"/>
        <v>0</v>
      </c>
      <c r="K146" s="67"/>
      <c r="L146" s="132"/>
      <c r="M146" s="67">
        <f t="shared" si="23"/>
        <v>0</v>
      </c>
      <c r="N146" s="132"/>
      <c r="O146" s="67">
        <f t="shared" si="24"/>
        <v>0</v>
      </c>
      <c r="P146" s="67">
        <f t="shared" si="25"/>
        <v>0</v>
      </c>
    </row>
    <row r="147" spans="2:16" ht="12.5">
      <c r="B147" s="9" t="str">
        <f t="shared" si="18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9"/>
        <v>0</v>
      </c>
      <c r="F147" s="68">
        <f t="shared" si="20"/>
        <v>0</v>
      </c>
      <c r="G147" s="68">
        <f t="shared" si="21"/>
        <v>0</v>
      </c>
      <c r="H147" s="130">
        <f t="shared" si="15"/>
        <v>0</v>
      </c>
      <c r="I147" s="139">
        <f t="shared" si="16"/>
        <v>0</v>
      </c>
      <c r="J147" s="67">
        <f t="shared" si="22"/>
        <v>0</v>
      </c>
      <c r="K147" s="67"/>
      <c r="L147" s="132"/>
      <c r="M147" s="67">
        <f t="shared" si="23"/>
        <v>0</v>
      </c>
      <c r="N147" s="132"/>
      <c r="O147" s="67">
        <f t="shared" si="24"/>
        <v>0</v>
      </c>
      <c r="P147" s="67">
        <f t="shared" si="25"/>
        <v>0</v>
      </c>
    </row>
    <row r="148" spans="2:16" ht="12.5">
      <c r="B148" s="9" t="str">
        <f t="shared" si="18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9"/>
        <v>0</v>
      </c>
      <c r="F148" s="68">
        <f t="shared" si="20"/>
        <v>0</v>
      </c>
      <c r="G148" s="68">
        <f t="shared" si="21"/>
        <v>0</v>
      </c>
      <c r="H148" s="130">
        <f t="shared" si="15"/>
        <v>0</v>
      </c>
      <c r="I148" s="139">
        <f t="shared" si="16"/>
        <v>0</v>
      </c>
      <c r="J148" s="67">
        <f t="shared" si="22"/>
        <v>0</v>
      </c>
      <c r="K148" s="67"/>
      <c r="L148" s="132"/>
      <c r="M148" s="67">
        <f t="shared" si="23"/>
        <v>0</v>
      </c>
      <c r="N148" s="132"/>
      <c r="O148" s="67">
        <f t="shared" si="24"/>
        <v>0</v>
      </c>
      <c r="P148" s="67">
        <f t="shared" si="25"/>
        <v>0</v>
      </c>
    </row>
    <row r="149" spans="2:16" ht="12.5">
      <c r="B149" s="9" t="str">
        <f t="shared" si="18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9"/>
        <v>0</v>
      </c>
      <c r="F149" s="68">
        <f t="shared" si="20"/>
        <v>0</v>
      </c>
      <c r="G149" s="68">
        <f t="shared" si="21"/>
        <v>0</v>
      </c>
      <c r="H149" s="130">
        <f t="shared" si="15"/>
        <v>0</v>
      </c>
      <c r="I149" s="139">
        <f t="shared" si="16"/>
        <v>0</v>
      </c>
      <c r="J149" s="67">
        <f t="shared" si="22"/>
        <v>0</v>
      </c>
      <c r="K149" s="67"/>
      <c r="L149" s="132"/>
      <c r="M149" s="67">
        <f t="shared" si="23"/>
        <v>0</v>
      </c>
      <c r="N149" s="132"/>
      <c r="O149" s="67">
        <f t="shared" si="24"/>
        <v>0</v>
      </c>
      <c r="P149" s="67">
        <f t="shared" si="25"/>
        <v>0</v>
      </c>
    </row>
    <row r="150" spans="2:16" ht="12.5">
      <c r="B150" s="9" t="str">
        <f t="shared" si="18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9"/>
        <v>0</v>
      </c>
      <c r="F150" s="68">
        <f t="shared" si="20"/>
        <v>0</v>
      </c>
      <c r="G150" s="68">
        <f t="shared" si="21"/>
        <v>0</v>
      </c>
      <c r="H150" s="130">
        <f t="shared" si="15"/>
        <v>0</v>
      </c>
      <c r="I150" s="139">
        <f t="shared" si="16"/>
        <v>0</v>
      </c>
      <c r="J150" s="67">
        <f t="shared" si="22"/>
        <v>0</v>
      </c>
      <c r="K150" s="67"/>
      <c r="L150" s="132"/>
      <c r="M150" s="67">
        <f t="shared" si="23"/>
        <v>0</v>
      </c>
      <c r="N150" s="132"/>
      <c r="O150" s="67">
        <f t="shared" si="24"/>
        <v>0</v>
      </c>
      <c r="P150" s="67">
        <f t="shared" si="25"/>
        <v>0</v>
      </c>
    </row>
    <row r="151" spans="2:16" ht="12.5">
      <c r="B151" s="9" t="str">
        <f t="shared" si="18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9"/>
        <v>0</v>
      </c>
      <c r="F151" s="68">
        <f t="shared" si="20"/>
        <v>0</v>
      </c>
      <c r="G151" s="68">
        <f t="shared" si="21"/>
        <v>0</v>
      </c>
      <c r="H151" s="130">
        <f t="shared" si="15"/>
        <v>0</v>
      </c>
      <c r="I151" s="139">
        <f t="shared" si="16"/>
        <v>0</v>
      </c>
      <c r="J151" s="67">
        <f t="shared" si="22"/>
        <v>0</v>
      </c>
      <c r="K151" s="67"/>
      <c r="L151" s="132"/>
      <c r="M151" s="67">
        <f t="shared" si="23"/>
        <v>0</v>
      </c>
      <c r="N151" s="132"/>
      <c r="O151" s="67">
        <f t="shared" si="24"/>
        <v>0</v>
      </c>
      <c r="P151" s="67">
        <f t="shared" si="25"/>
        <v>0</v>
      </c>
    </row>
    <row r="152" spans="2:16" ht="12.5">
      <c r="B152" s="9" t="str">
        <f t="shared" si="18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9"/>
        <v>0</v>
      </c>
      <c r="F152" s="68">
        <f t="shared" si="20"/>
        <v>0</v>
      </c>
      <c r="G152" s="68">
        <f t="shared" si="21"/>
        <v>0</v>
      </c>
      <c r="H152" s="130">
        <f t="shared" si="15"/>
        <v>0</v>
      </c>
      <c r="I152" s="139">
        <f t="shared" si="16"/>
        <v>0</v>
      </c>
      <c r="J152" s="67">
        <f t="shared" si="22"/>
        <v>0</v>
      </c>
      <c r="K152" s="67"/>
      <c r="L152" s="132"/>
      <c r="M152" s="67">
        <f t="shared" si="23"/>
        <v>0</v>
      </c>
      <c r="N152" s="132"/>
      <c r="O152" s="67">
        <f t="shared" si="24"/>
        <v>0</v>
      </c>
      <c r="P152" s="67">
        <f t="shared" si="25"/>
        <v>0</v>
      </c>
    </row>
    <row r="153" spans="2:16" ht="12.5">
      <c r="B153" s="9" t="str">
        <f t="shared" si="18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9"/>
        <v>0</v>
      </c>
      <c r="F153" s="68">
        <f t="shared" si="20"/>
        <v>0</v>
      </c>
      <c r="G153" s="68">
        <f t="shared" si="21"/>
        <v>0</v>
      </c>
      <c r="H153" s="130">
        <f t="shared" si="15"/>
        <v>0</v>
      </c>
      <c r="I153" s="139">
        <f t="shared" si="16"/>
        <v>0</v>
      </c>
      <c r="J153" s="67">
        <f t="shared" si="22"/>
        <v>0</v>
      </c>
      <c r="K153" s="67"/>
      <c r="L153" s="132"/>
      <c r="M153" s="67">
        <f t="shared" si="23"/>
        <v>0</v>
      </c>
      <c r="N153" s="132"/>
      <c r="O153" s="67">
        <f t="shared" si="24"/>
        <v>0</v>
      </c>
      <c r="P153" s="67">
        <f t="shared" si="25"/>
        <v>0</v>
      </c>
    </row>
    <row r="154" spans="2:16" ht="13" thickBot="1">
      <c r="B154" s="9" t="str">
        <f t="shared" si="18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9"/>
        <v>0</v>
      </c>
      <c r="F154" s="73">
        <f t="shared" si="20"/>
        <v>0</v>
      </c>
      <c r="G154" s="73">
        <f t="shared" si="21"/>
        <v>0</v>
      </c>
      <c r="H154" s="140">
        <f t="shared" si="15"/>
        <v>0</v>
      </c>
      <c r="I154" s="141">
        <f t="shared" si="16"/>
        <v>0</v>
      </c>
      <c r="J154" s="76">
        <f t="shared" si="22"/>
        <v>0</v>
      </c>
      <c r="K154" s="67"/>
      <c r="L154" s="133"/>
      <c r="M154" s="76">
        <f t="shared" si="23"/>
        <v>0</v>
      </c>
      <c r="N154" s="133"/>
      <c r="O154" s="76">
        <f t="shared" si="24"/>
        <v>0</v>
      </c>
      <c r="P154" s="76">
        <f t="shared" si="25"/>
        <v>0</v>
      </c>
    </row>
    <row r="155" spans="2:16" ht="12.5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 ht="12.5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 ht="12.5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 ht="13">
      <c r="C158" s="115" t="s">
        <v>149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 ht="13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 ht="13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 ht="13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7.5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P162"/>
  <sheetViews>
    <sheetView view="pageBreakPreview" topLeftCell="A90" zoomScale="80" zoomScaleNormal="100" zoomScaleSheetLayoutView="80" workbookViewId="0">
      <selection activeCell="H110" sqref="H110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179687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1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 t="str">
        <f>RIGHT(N3,3)</f>
        <v/>
      </c>
      <c r="P3" s="42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96794.079800478314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96794.079800478314</v>
      </c>
      <c r="O6" s="233"/>
      <c r="P6" s="233"/>
    </row>
    <row r="7" spans="1:16" ht="13.5" thickBot="1">
      <c r="C7" s="432" t="s">
        <v>46</v>
      </c>
      <c r="D7" s="433" t="s">
        <v>209</v>
      </c>
      <c r="E7" s="332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 t="str">
        <f>IF(D10&lt;100000,"DOES NOT MEET SPP $100,000 MINIMUM INVESTMENT FOR REGIONAL BPU SHARING.","")</f>
        <v/>
      </c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49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f>893858</f>
        <v>893858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2009</v>
      </c>
      <c r="E11" s="451" t="s">
        <v>54</v>
      </c>
      <c r="F11" s="449"/>
      <c r="G11" s="195"/>
      <c r="H11" s="195"/>
      <c r="I11" s="453"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6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IF(D10=0,0,ROUND(D10/D13,0))</f>
        <v>20787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C17" s="473">
        <f>IF(D11= "","-",D11)</f>
        <v>2009</v>
      </c>
      <c r="D17" s="474">
        <v>579098</v>
      </c>
      <c r="E17" s="475">
        <v>5463</v>
      </c>
      <c r="F17" s="474">
        <v>573635</v>
      </c>
      <c r="G17" s="475">
        <v>56729</v>
      </c>
      <c r="H17" s="475">
        <v>56729</v>
      </c>
      <c r="I17" s="476">
        <f t="shared" ref="I17:I48" si="0">H17-G17</f>
        <v>0</v>
      </c>
      <c r="J17" s="476"/>
      <c r="K17" s="477">
        <v>56729</v>
      </c>
      <c r="L17" s="478">
        <f t="shared" ref="L17:L48" si="1">IF(K17&lt;&gt;0,+G17-K17,0)</f>
        <v>0</v>
      </c>
      <c r="M17" s="477">
        <v>56729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2010</v>
      </c>
      <c r="D18" s="480">
        <v>888395</v>
      </c>
      <c r="E18" s="481">
        <v>15962</v>
      </c>
      <c r="F18" s="480">
        <v>872433</v>
      </c>
      <c r="G18" s="481">
        <v>141851</v>
      </c>
      <c r="H18" s="482">
        <v>141851</v>
      </c>
      <c r="I18" s="476">
        <f t="shared" si="0"/>
        <v>0</v>
      </c>
      <c r="J18" s="476"/>
      <c r="K18" s="477">
        <f t="shared" ref="K18:K23" si="4">G18</f>
        <v>141851</v>
      </c>
      <c r="L18" s="479">
        <f t="shared" si="1"/>
        <v>0</v>
      </c>
      <c r="M18" s="477">
        <f t="shared" ref="M18:M23" si="5">H18</f>
        <v>141851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/>
      </c>
      <c r="C19" s="473">
        <f>IF(D11="","-",+C18+1)</f>
        <v>2011</v>
      </c>
      <c r="D19" s="480">
        <v>872433</v>
      </c>
      <c r="E19" s="481">
        <v>17527</v>
      </c>
      <c r="F19" s="480">
        <v>854906</v>
      </c>
      <c r="G19" s="481">
        <v>151356.84230707804</v>
      </c>
      <c r="H19" s="482">
        <v>151356.84230707804</v>
      </c>
      <c r="I19" s="476">
        <f t="shared" si="0"/>
        <v>0</v>
      </c>
      <c r="J19" s="476"/>
      <c r="K19" s="477">
        <f t="shared" si="4"/>
        <v>151356.84230707804</v>
      </c>
      <c r="L19" s="479">
        <f t="shared" si="1"/>
        <v>0</v>
      </c>
      <c r="M19" s="477">
        <f t="shared" si="5"/>
        <v>151356.84230707804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/>
      </c>
      <c r="C20" s="483">
        <f>IF(D11="","-",+C19+1)</f>
        <v>2012</v>
      </c>
      <c r="D20" s="480">
        <v>854906</v>
      </c>
      <c r="E20" s="481">
        <v>17190</v>
      </c>
      <c r="F20" s="480">
        <v>837716</v>
      </c>
      <c r="G20" s="481">
        <v>133805.70830730975</v>
      </c>
      <c r="H20" s="482">
        <v>133805.70830730975</v>
      </c>
      <c r="I20" s="476">
        <f t="shared" si="0"/>
        <v>0</v>
      </c>
      <c r="J20" s="476"/>
      <c r="K20" s="477">
        <f t="shared" si="4"/>
        <v>133805.70830730975</v>
      </c>
      <c r="L20" s="479">
        <f t="shared" si="1"/>
        <v>0</v>
      </c>
      <c r="M20" s="477">
        <f t="shared" si="5"/>
        <v>133805.70830730975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83">
        <f>IF(D12="","-",+C20+1)</f>
        <v>2013</v>
      </c>
      <c r="D21" s="480">
        <v>837716</v>
      </c>
      <c r="E21" s="481">
        <v>17190</v>
      </c>
      <c r="F21" s="480">
        <v>820526</v>
      </c>
      <c r="G21" s="481">
        <v>134366.65985215519</v>
      </c>
      <c r="H21" s="482">
        <v>134366.65985215519</v>
      </c>
      <c r="I21" s="476">
        <v>0</v>
      </c>
      <c r="J21" s="476"/>
      <c r="K21" s="477">
        <f t="shared" si="4"/>
        <v>134366.65985215519</v>
      </c>
      <c r="L21" s="479">
        <f t="shared" ref="L21:L26" si="7">IF(K21&lt;&gt;0,+G21-K21,0)</f>
        <v>0</v>
      </c>
      <c r="M21" s="477">
        <f t="shared" si="5"/>
        <v>134366.65985215519</v>
      </c>
      <c r="N21" s="479">
        <f t="shared" ref="N21:N26" si="8">IF(M21&lt;&gt;0,+H21-M21,0)</f>
        <v>0</v>
      </c>
      <c r="O21" s="479">
        <f t="shared" ref="O21:O26" si="9">+N21-L21</f>
        <v>0</v>
      </c>
      <c r="P21" s="243"/>
    </row>
    <row r="22" spans="2:16" ht="12.5">
      <c r="B22" s="160" t="str">
        <f t="shared" si="6"/>
        <v/>
      </c>
      <c r="C22" s="473">
        <f>IF(D11="","-",+C21+1)</f>
        <v>2014</v>
      </c>
      <c r="D22" s="480">
        <v>820526</v>
      </c>
      <c r="E22" s="481">
        <v>17190</v>
      </c>
      <c r="F22" s="480">
        <v>803336</v>
      </c>
      <c r="G22" s="481">
        <v>127776.24380165605</v>
      </c>
      <c r="H22" s="482">
        <v>127776.24380165605</v>
      </c>
      <c r="I22" s="476">
        <v>0</v>
      </c>
      <c r="J22" s="476"/>
      <c r="K22" s="477">
        <f t="shared" si="4"/>
        <v>127776.24380165605</v>
      </c>
      <c r="L22" s="479">
        <f t="shared" si="7"/>
        <v>0</v>
      </c>
      <c r="M22" s="477">
        <f t="shared" si="5"/>
        <v>127776.24380165605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2015</v>
      </c>
      <c r="D23" s="480">
        <v>803336</v>
      </c>
      <c r="E23" s="481">
        <v>17190</v>
      </c>
      <c r="F23" s="480">
        <v>786146</v>
      </c>
      <c r="G23" s="481">
        <v>125577.25148028173</v>
      </c>
      <c r="H23" s="482">
        <v>125577.25148028173</v>
      </c>
      <c r="I23" s="476">
        <v>0</v>
      </c>
      <c r="J23" s="476"/>
      <c r="K23" s="477">
        <f t="shared" si="4"/>
        <v>125577.25148028173</v>
      </c>
      <c r="L23" s="479">
        <f t="shared" si="7"/>
        <v>0</v>
      </c>
      <c r="M23" s="477">
        <f t="shared" si="5"/>
        <v>125577.25148028173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2016</v>
      </c>
      <c r="D24" s="480">
        <v>786146</v>
      </c>
      <c r="E24" s="481">
        <v>17190</v>
      </c>
      <c r="F24" s="480">
        <v>768956</v>
      </c>
      <c r="G24" s="481">
        <v>118045.98754263212</v>
      </c>
      <c r="H24" s="482">
        <v>118045.98754263212</v>
      </c>
      <c r="I24" s="476">
        <f t="shared" si="0"/>
        <v>0</v>
      </c>
      <c r="J24" s="476"/>
      <c r="K24" s="477">
        <f>G24</f>
        <v>118045.98754263212</v>
      </c>
      <c r="L24" s="479">
        <f t="shared" si="7"/>
        <v>0</v>
      </c>
      <c r="M24" s="477">
        <f>H24</f>
        <v>118045.98754263212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2017</v>
      </c>
      <c r="D25" s="480">
        <v>768956</v>
      </c>
      <c r="E25" s="481">
        <v>19432</v>
      </c>
      <c r="F25" s="480">
        <v>749524</v>
      </c>
      <c r="G25" s="481">
        <v>114816.91495996526</v>
      </c>
      <c r="H25" s="482">
        <v>114816.91495996526</v>
      </c>
      <c r="I25" s="476">
        <f t="shared" si="0"/>
        <v>0</v>
      </c>
      <c r="J25" s="476"/>
      <c r="K25" s="477">
        <f>G25</f>
        <v>114816.91495996526</v>
      </c>
      <c r="L25" s="479">
        <f t="shared" si="7"/>
        <v>0</v>
      </c>
      <c r="M25" s="477">
        <f>H25</f>
        <v>114816.91495996526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2018</v>
      </c>
      <c r="D26" s="480">
        <v>749524</v>
      </c>
      <c r="E26" s="481">
        <v>19864</v>
      </c>
      <c r="F26" s="480">
        <v>729660</v>
      </c>
      <c r="G26" s="481">
        <v>118612.83535736376</v>
      </c>
      <c r="H26" s="482">
        <v>118612.83535736376</v>
      </c>
      <c r="I26" s="476">
        <f t="shared" si="0"/>
        <v>0</v>
      </c>
      <c r="J26" s="476"/>
      <c r="K26" s="477">
        <f>G26</f>
        <v>118612.83535736376</v>
      </c>
      <c r="L26" s="479">
        <f t="shared" si="7"/>
        <v>0</v>
      </c>
      <c r="M26" s="477">
        <f>H26</f>
        <v>118612.83535736376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2019</v>
      </c>
      <c r="D27" s="480">
        <v>729660</v>
      </c>
      <c r="E27" s="481">
        <v>19864</v>
      </c>
      <c r="F27" s="480">
        <v>709796</v>
      </c>
      <c r="G27" s="481">
        <v>115924.53277048949</v>
      </c>
      <c r="H27" s="482">
        <v>115924.53277048949</v>
      </c>
      <c r="I27" s="476">
        <f t="shared" si="0"/>
        <v>0</v>
      </c>
      <c r="J27" s="476"/>
      <c r="K27" s="477">
        <f>G27</f>
        <v>115924.53277048949</v>
      </c>
      <c r="L27" s="479">
        <f t="shared" ref="L27" si="10">IF(K27&lt;&gt;0,+G27-K27,0)</f>
        <v>0</v>
      </c>
      <c r="M27" s="477">
        <f>H27</f>
        <v>115924.53277048949</v>
      </c>
      <c r="N27" s="479">
        <f t="shared" ref="N27" si="11">IF(M27&lt;&gt;0,+H27-M27,0)</f>
        <v>0</v>
      </c>
      <c r="O27" s="479">
        <f t="shared" ref="O27" si="12">+N27-L27</f>
        <v>0</v>
      </c>
      <c r="P27" s="243"/>
    </row>
    <row r="28" spans="2:16" ht="12.5">
      <c r="B28" s="160" t="str">
        <f t="shared" si="6"/>
        <v/>
      </c>
      <c r="C28" s="473">
        <f>IF(D11="","-",+C27+1)</f>
        <v>2020</v>
      </c>
      <c r="D28" s="480">
        <v>709796</v>
      </c>
      <c r="E28" s="481">
        <v>21282</v>
      </c>
      <c r="F28" s="480">
        <v>688514</v>
      </c>
      <c r="G28" s="481">
        <v>96794.079800478314</v>
      </c>
      <c r="H28" s="482">
        <v>96794.079800478314</v>
      </c>
      <c r="I28" s="476">
        <f t="shared" si="0"/>
        <v>0</v>
      </c>
      <c r="J28" s="476"/>
      <c r="K28" s="477">
        <f>G28</f>
        <v>96794.079800478314</v>
      </c>
      <c r="L28" s="479">
        <f t="shared" ref="L28" si="13">IF(K28&lt;&gt;0,+G28-K28,0)</f>
        <v>0</v>
      </c>
      <c r="M28" s="477">
        <f>H28</f>
        <v>96794.079800478314</v>
      </c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6"/>
        <v/>
      </c>
      <c r="C29" s="473">
        <f>IF(D11="","-",+C28+1)</f>
        <v>2021</v>
      </c>
      <c r="D29" s="484">
        <f>IF(F28+SUM(E$17:E28)=D$10,F28,D$10-SUM(E$17:E28))</f>
        <v>688514</v>
      </c>
      <c r="E29" s="485">
        <f>IF(+I14&lt;F28,I14,D29)</f>
        <v>20787</v>
      </c>
      <c r="F29" s="486">
        <f t="shared" ref="F29:F48" si="14">+D29-E29</f>
        <v>667727</v>
      </c>
      <c r="G29" s="487">
        <f t="shared" ref="G29:G72" si="15">(D29+F29)/2*I$12+E29</f>
        <v>98809.059592521604</v>
      </c>
      <c r="H29" s="456">
        <f t="shared" ref="H29:H72" si="16">+(D29+F29)/2*I$13+E29</f>
        <v>98809.059592521604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2022</v>
      </c>
      <c r="D30" s="484">
        <f>IF(F29+SUM(E$17:E29)=D$10,F29,D$10-SUM(E$17:E29))</f>
        <v>667727</v>
      </c>
      <c r="E30" s="485">
        <f>IF(+I14&lt;F29,I14,D30)</f>
        <v>20787</v>
      </c>
      <c r="F30" s="486">
        <f t="shared" si="14"/>
        <v>646940</v>
      </c>
      <c r="G30" s="487">
        <f t="shared" si="15"/>
        <v>96417.383551538122</v>
      </c>
      <c r="H30" s="456">
        <f t="shared" si="16"/>
        <v>96417.383551538122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2023</v>
      </c>
      <c r="D31" s="484">
        <f>IF(F30+SUM(E$17:E30)=D$10,F30,D$10-SUM(E$17:E30))</f>
        <v>646940</v>
      </c>
      <c r="E31" s="485">
        <f>IF(+I14&lt;F30,I14,D31)</f>
        <v>20787</v>
      </c>
      <c r="F31" s="486">
        <f t="shared" si="14"/>
        <v>626153</v>
      </c>
      <c r="G31" s="487">
        <f t="shared" si="15"/>
        <v>94025.707510554625</v>
      </c>
      <c r="H31" s="456">
        <f t="shared" si="16"/>
        <v>94025.707510554625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2024</v>
      </c>
      <c r="D32" s="484">
        <f>IF(F31+SUM(E$17:E31)=D$10,F31,D$10-SUM(E$17:E31))</f>
        <v>626153</v>
      </c>
      <c r="E32" s="485">
        <f>IF(+I14&lt;F31,I14,D32)</f>
        <v>20787</v>
      </c>
      <c r="F32" s="486">
        <f t="shared" si="14"/>
        <v>605366</v>
      </c>
      <c r="G32" s="487">
        <f t="shared" si="15"/>
        <v>91634.031469571128</v>
      </c>
      <c r="H32" s="456">
        <f t="shared" si="16"/>
        <v>91634.031469571128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2025</v>
      </c>
      <c r="D33" s="484">
        <f>IF(F32+SUM(E$17:E32)=D$10,F32,D$10-SUM(E$17:E32))</f>
        <v>605366</v>
      </c>
      <c r="E33" s="485">
        <f>IF(+I14&lt;F32,I14,D33)</f>
        <v>20787</v>
      </c>
      <c r="F33" s="486">
        <f t="shared" si="14"/>
        <v>584579</v>
      </c>
      <c r="G33" s="487">
        <f t="shared" si="15"/>
        <v>89242.355428587645</v>
      </c>
      <c r="H33" s="456">
        <f t="shared" si="16"/>
        <v>89242.355428587645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2026</v>
      </c>
      <c r="D34" s="484">
        <f>IF(F33+SUM(E$17:E33)=D$10,F33,D$10-SUM(E$17:E33))</f>
        <v>584579</v>
      </c>
      <c r="E34" s="485">
        <f>IF(+I14&lt;F33,I14,D34)</f>
        <v>20787</v>
      </c>
      <c r="F34" s="486">
        <f t="shared" si="14"/>
        <v>563792</v>
      </c>
      <c r="G34" s="487">
        <f t="shared" si="15"/>
        <v>86850.679387604148</v>
      </c>
      <c r="H34" s="456">
        <f t="shared" si="16"/>
        <v>86850.679387604148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2027</v>
      </c>
      <c r="D35" s="484">
        <f>IF(F34+SUM(E$17:E34)=D$10,F34,D$10-SUM(E$17:E34))</f>
        <v>563792</v>
      </c>
      <c r="E35" s="485">
        <f>IF(+I14&lt;F34,I14,D35)</f>
        <v>20787</v>
      </c>
      <c r="F35" s="486">
        <f t="shared" si="14"/>
        <v>543005</v>
      </c>
      <c r="G35" s="487">
        <f t="shared" si="15"/>
        <v>84459.003346620651</v>
      </c>
      <c r="H35" s="456">
        <f t="shared" si="16"/>
        <v>84459.003346620651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2028</v>
      </c>
      <c r="D36" s="484">
        <f>IF(F35+SUM(E$17:E35)=D$10,F35,D$10-SUM(E$17:E35))</f>
        <v>543005</v>
      </c>
      <c r="E36" s="485">
        <f>IF(+I14&lt;F35,I14,D36)</f>
        <v>20787</v>
      </c>
      <c r="F36" s="486">
        <f t="shared" si="14"/>
        <v>522218</v>
      </c>
      <c r="G36" s="487">
        <f t="shared" si="15"/>
        <v>82067.327305637154</v>
      </c>
      <c r="H36" s="456">
        <f t="shared" si="16"/>
        <v>82067.327305637154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2029</v>
      </c>
      <c r="D37" s="484">
        <f>IF(F36+SUM(E$17:E36)=D$10,F36,D$10-SUM(E$17:E36))</f>
        <v>522218</v>
      </c>
      <c r="E37" s="485">
        <f>IF(+I14&lt;F36,I14,D37)</f>
        <v>20787</v>
      </c>
      <c r="F37" s="486">
        <f t="shared" si="14"/>
        <v>501431</v>
      </c>
      <c r="G37" s="487">
        <f t="shared" si="15"/>
        <v>79675.651264653658</v>
      </c>
      <c r="H37" s="456">
        <f t="shared" si="16"/>
        <v>79675.651264653658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2030</v>
      </c>
      <c r="D38" s="484">
        <f>IF(F37+SUM(E$17:E37)=D$10,F37,D$10-SUM(E$17:E37))</f>
        <v>501431</v>
      </c>
      <c r="E38" s="485">
        <f>IF(+I14&lt;F37,I14,D38)</f>
        <v>20787</v>
      </c>
      <c r="F38" s="486">
        <f t="shared" si="14"/>
        <v>480644</v>
      </c>
      <c r="G38" s="487">
        <f t="shared" si="15"/>
        <v>77283.975223670175</v>
      </c>
      <c r="H38" s="456">
        <f t="shared" si="16"/>
        <v>77283.975223670175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2031</v>
      </c>
      <c r="D39" s="484">
        <f>IF(F38+SUM(E$17:E38)=D$10,F38,D$10-SUM(E$17:E38))</f>
        <v>480644</v>
      </c>
      <c r="E39" s="485">
        <f>IF(+I14&lt;F38,I14,D39)</f>
        <v>20787</v>
      </c>
      <c r="F39" s="486">
        <f t="shared" si="14"/>
        <v>459857</v>
      </c>
      <c r="G39" s="487">
        <f t="shared" si="15"/>
        <v>74892.299182686678</v>
      </c>
      <c r="H39" s="456">
        <f t="shared" si="16"/>
        <v>74892.299182686678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2032</v>
      </c>
      <c r="D40" s="484">
        <f>IF(F39+SUM(E$17:E39)=D$10,F39,D$10-SUM(E$17:E39))</f>
        <v>459857</v>
      </c>
      <c r="E40" s="485">
        <f>IF(+I14&lt;F39,I14,D40)</f>
        <v>20787</v>
      </c>
      <c r="F40" s="486">
        <f t="shared" si="14"/>
        <v>439070</v>
      </c>
      <c r="G40" s="487">
        <f t="shared" si="15"/>
        <v>72500.623141703196</v>
      </c>
      <c r="H40" s="456">
        <f t="shared" si="16"/>
        <v>72500.623141703196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2033</v>
      </c>
      <c r="D41" s="484">
        <f>IF(F40+SUM(E$17:E40)=D$10,F40,D$10-SUM(E$17:E40))</f>
        <v>439070</v>
      </c>
      <c r="E41" s="485">
        <f>IF(+I14&lt;F40,I14,D41)</f>
        <v>20787</v>
      </c>
      <c r="F41" s="486">
        <f t="shared" si="14"/>
        <v>418283</v>
      </c>
      <c r="G41" s="487">
        <f t="shared" si="15"/>
        <v>70108.947100719699</v>
      </c>
      <c r="H41" s="456">
        <f t="shared" si="16"/>
        <v>70108.947100719699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2034</v>
      </c>
      <c r="D42" s="484">
        <f>IF(F41+SUM(E$17:E41)=D$10,F41,D$10-SUM(E$17:E41))</f>
        <v>418283</v>
      </c>
      <c r="E42" s="485">
        <f>IF(+I14&lt;F41,I14,D42)</f>
        <v>20787</v>
      </c>
      <c r="F42" s="486">
        <f t="shared" si="14"/>
        <v>397496</v>
      </c>
      <c r="G42" s="487">
        <f t="shared" si="15"/>
        <v>67717.271059736202</v>
      </c>
      <c r="H42" s="456">
        <f t="shared" si="16"/>
        <v>67717.271059736202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2035</v>
      </c>
      <c r="D43" s="484">
        <f>IF(F42+SUM(E$17:E42)=D$10,F42,D$10-SUM(E$17:E42))</f>
        <v>397496</v>
      </c>
      <c r="E43" s="485">
        <f>IF(+I14&lt;F42,I14,D43)</f>
        <v>20787</v>
      </c>
      <c r="F43" s="486">
        <f t="shared" si="14"/>
        <v>376709</v>
      </c>
      <c r="G43" s="487">
        <f t="shared" si="15"/>
        <v>65325.595018752712</v>
      </c>
      <c r="H43" s="456">
        <f t="shared" si="16"/>
        <v>65325.595018752712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2036</v>
      </c>
      <c r="D44" s="484">
        <f>IF(F43+SUM(E$17:E43)=D$10,F43,D$10-SUM(E$17:E43))</f>
        <v>376709</v>
      </c>
      <c r="E44" s="485">
        <f>IF(+I14&lt;F43,I14,D44)</f>
        <v>20787</v>
      </c>
      <c r="F44" s="486">
        <f t="shared" si="14"/>
        <v>355922</v>
      </c>
      <c r="G44" s="487">
        <f t="shared" si="15"/>
        <v>62933.918977769215</v>
      </c>
      <c r="H44" s="456">
        <f t="shared" si="16"/>
        <v>62933.918977769215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2037</v>
      </c>
      <c r="D45" s="484">
        <f>IF(F44+SUM(E$17:E44)=D$10,F44,D$10-SUM(E$17:E44))</f>
        <v>355922</v>
      </c>
      <c r="E45" s="485">
        <f>IF(+I14&lt;F44,I14,D45)</f>
        <v>20787</v>
      </c>
      <c r="F45" s="486">
        <f t="shared" si="14"/>
        <v>335135</v>
      </c>
      <c r="G45" s="487">
        <f t="shared" si="15"/>
        <v>60542.242936785726</v>
      </c>
      <c r="H45" s="456">
        <f t="shared" si="16"/>
        <v>60542.242936785726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2038</v>
      </c>
      <c r="D46" s="484">
        <f>IF(F45+SUM(E$17:E45)=D$10,F45,D$10-SUM(E$17:E45))</f>
        <v>335135</v>
      </c>
      <c r="E46" s="485">
        <f>IF(+I14&lt;F45,I14,D46)</f>
        <v>20787</v>
      </c>
      <c r="F46" s="486">
        <f t="shared" si="14"/>
        <v>314348</v>
      </c>
      <c r="G46" s="487">
        <f t="shared" si="15"/>
        <v>58150.566895802229</v>
      </c>
      <c r="H46" s="456">
        <f t="shared" si="16"/>
        <v>58150.566895802229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2039</v>
      </c>
      <c r="D47" s="484">
        <f>IF(F46+SUM(E$17:E46)=D$10,F46,D$10-SUM(E$17:E46))</f>
        <v>314348</v>
      </c>
      <c r="E47" s="485">
        <f>IF(+I14&lt;F46,I14,D47)</f>
        <v>20787</v>
      </c>
      <c r="F47" s="486">
        <f t="shared" si="14"/>
        <v>293561</v>
      </c>
      <c r="G47" s="487">
        <f t="shared" si="15"/>
        <v>55758.890854818739</v>
      </c>
      <c r="H47" s="456">
        <f t="shared" si="16"/>
        <v>55758.890854818739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2040</v>
      </c>
      <c r="D48" s="484">
        <f>IF(F47+SUM(E$17:E47)=D$10,F47,D$10-SUM(E$17:E47))</f>
        <v>293561</v>
      </c>
      <c r="E48" s="485">
        <f>IF(+I14&lt;F47,I14,D48)</f>
        <v>20787</v>
      </c>
      <c r="F48" s="486">
        <f t="shared" si="14"/>
        <v>272774</v>
      </c>
      <c r="G48" s="487">
        <f t="shared" si="15"/>
        <v>53367.21481383525</v>
      </c>
      <c r="H48" s="456">
        <f t="shared" si="16"/>
        <v>53367.21481383525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2041</v>
      </c>
      <c r="D49" s="484">
        <f>IF(F48+SUM(E$17:E48)=D$10,F48,D$10-SUM(E$17:E48))</f>
        <v>272774</v>
      </c>
      <c r="E49" s="485">
        <f>IF(+I14&lt;F48,I14,D49)</f>
        <v>20787</v>
      </c>
      <c r="F49" s="486">
        <f t="shared" ref="F49:F72" si="17">+D49-E49</f>
        <v>251987</v>
      </c>
      <c r="G49" s="487">
        <f t="shared" si="15"/>
        <v>50975.538772851753</v>
      </c>
      <c r="H49" s="456">
        <f t="shared" si="16"/>
        <v>50975.538772851753</v>
      </c>
      <c r="I49" s="476">
        <f t="shared" ref="I49:I72" si="18">H49-G49</f>
        <v>0</v>
      </c>
      <c r="J49" s="476"/>
      <c r="K49" s="488"/>
      <c r="L49" s="479">
        <f t="shared" ref="L49:L72" si="19">IF(K49&lt;&gt;0,+G49-K49,0)</f>
        <v>0</v>
      </c>
      <c r="M49" s="488"/>
      <c r="N49" s="479">
        <f t="shared" ref="N49:N72" si="20">IF(M49&lt;&gt;0,+H49-M49,0)</f>
        <v>0</v>
      </c>
      <c r="O49" s="479">
        <f t="shared" ref="O49:O72" si="21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2042</v>
      </c>
      <c r="D50" s="484">
        <f>IF(F49+SUM(E$17:E49)=D$10,F49,D$10-SUM(E$17:E49))</f>
        <v>251987</v>
      </c>
      <c r="E50" s="485">
        <f>IF(+I14&lt;F49,I14,D50)</f>
        <v>20787</v>
      </c>
      <c r="F50" s="486">
        <f t="shared" si="17"/>
        <v>231200</v>
      </c>
      <c r="G50" s="487">
        <f t="shared" si="15"/>
        <v>48583.862731868256</v>
      </c>
      <c r="H50" s="456">
        <f t="shared" si="16"/>
        <v>48583.862731868256</v>
      </c>
      <c r="I50" s="476">
        <f t="shared" si="18"/>
        <v>0</v>
      </c>
      <c r="J50" s="476"/>
      <c r="K50" s="488"/>
      <c r="L50" s="479">
        <f t="shared" si="19"/>
        <v>0</v>
      </c>
      <c r="M50" s="488"/>
      <c r="N50" s="479">
        <f t="shared" si="20"/>
        <v>0</v>
      </c>
      <c r="O50" s="479">
        <f t="shared" si="21"/>
        <v>0</v>
      </c>
      <c r="P50" s="243"/>
    </row>
    <row r="51" spans="2:16" ht="12.5">
      <c r="B51" s="160" t="str">
        <f t="shared" si="6"/>
        <v/>
      </c>
      <c r="C51" s="473">
        <f>IF(D11="","-",+C50+1)</f>
        <v>2043</v>
      </c>
      <c r="D51" s="484">
        <f>IF(F50+SUM(E$17:E50)=D$10,F50,D$10-SUM(E$17:E50))</f>
        <v>231200</v>
      </c>
      <c r="E51" s="485">
        <f>IF(+I14&lt;F50,I14,D51)</f>
        <v>20787</v>
      </c>
      <c r="F51" s="486">
        <f t="shared" si="17"/>
        <v>210413</v>
      </c>
      <c r="G51" s="487">
        <f t="shared" si="15"/>
        <v>46192.186690884766</v>
      </c>
      <c r="H51" s="456">
        <f t="shared" si="16"/>
        <v>46192.186690884766</v>
      </c>
      <c r="I51" s="476">
        <f t="shared" si="18"/>
        <v>0</v>
      </c>
      <c r="J51" s="476"/>
      <c r="K51" s="488"/>
      <c r="L51" s="479">
        <f t="shared" si="19"/>
        <v>0</v>
      </c>
      <c r="M51" s="488"/>
      <c r="N51" s="479">
        <f t="shared" si="20"/>
        <v>0</v>
      </c>
      <c r="O51" s="479">
        <f t="shared" si="21"/>
        <v>0</v>
      </c>
      <c r="P51" s="243"/>
    </row>
    <row r="52" spans="2:16" ht="12.5">
      <c r="B52" s="160" t="str">
        <f t="shared" si="6"/>
        <v/>
      </c>
      <c r="C52" s="473">
        <f>IF(D11="","-",+C51+1)</f>
        <v>2044</v>
      </c>
      <c r="D52" s="484">
        <f>IF(F51+SUM(E$17:E51)=D$10,F51,D$10-SUM(E$17:E51))</f>
        <v>210413</v>
      </c>
      <c r="E52" s="485">
        <f>IF(+I14&lt;F51,I14,D52)</f>
        <v>20787</v>
      </c>
      <c r="F52" s="486">
        <f t="shared" si="17"/>
        <v>189626</v>
      </c>
      <c r="G52" s="487">
        <f t="shared" si="15"/>
        <v>43800.510649901276</v>
      </c>
      <c r="H52" s="456">
        <f t="shared" si="16"/>
        <v>43800.510649901276</v>
      </c>
      <c r="I52" s="476">
        <f t="shared" si="18"/>
        <v>0</v>
      </c>
      <c r="J52" s="476"/>
      <c r="K52" s="488"/>
      <c r="L52" s="479">
        <f t="shared" si="19"/>
        <v>0</v>
      </c>
      <c r="M52" s="488"/>
      <c r="N52" s="479">
        <f t="shared" si="20"/>
        <v>0</v>
      </c>
      <c r="O52" s="479">
        <f t="shared" si="21"/>
        <v>0</v>
      </c>
      <c r="P52" s="243"/>
    </row>
    <row r="53" spans="2:16" ht="12.5">
      <c r="B53" s="160" t="str">
        <f t="shared" si="6"/>
        <v/>
      </c>
      <c r="C53" s="473">
        <f>IF(D11="","-",+C52+1)</f>
        <v>2045</v>
      </c>
      <c r="D53" s="484">
        <f>IF(F52+SUM(E$17:E52)=D$10,F52,D$10-SUM(E$17:E52))</f>
        <v>189626</v>
      </c>
      <c r="E53" s="485">
        <f>IF(+I14&lt;F52,I14,D53)</f>
        <v>20787</v>
      </c>
      <c r="F53" s="486">
        <f t="shared" si="17"/>
        <v>168839</v>
      </c>
      <c r="G53" s="487">
        <f t="shared" si="15"/>
        <v>41408.834608917779</v>
      </c>
      <c r="H53" s="456">
        <f t="shared" si="16"/>
        <v>41408.834608917779</v>
      </c>
      <c r="I53" s="476">
        <f t="shared" si="18"/>
        <v>0</v>
      </c>
      <c r="J53" s="476"/>
      <c r="K53" s="488"/>
      <c r="L53" s="479">
        <f t="shared" si="19"/>
        <v>0</v>
      </c>
      <c r="M53" s="488"/>
      <c r="N53" s="479">
        <f t="shared" si="20"/>
        <v>0</v>
      </c>
      <c r="O53" s="479">
        <f t="shared" si="21"/>
        <v>0</v>
      </c>
      <c r="P53" s="243"/>
    </row>
    <row r="54" spans="2:16" ht="12.5">
      <c r="B54" s="160" t="str">
        <f t="shared" si="6"/>
        <v/>
      </c>
      <c r="C54" s="473">
        <f>IF(D11="","-",+C53+1)</f>
        <v>2046</v>
      </c>
      <c r="D54" s="484">
        <f>IF(F53+SUM(E$17:E53)=D$10,F53,D$10-SUM(E$17:E53))</f>
        <v>168839</v>
      </c>
      <c r="E54" s="485">
        <f>IF(+I14&lt;F53,I14,D54)</f>
        <v>20787</v>
      </c>
      <c r="F54" s="486">
        <f t="shared" si="17"/>
        <v>148052</v>
      </c>
      <c r="G54" s="487">
        <f t="shared" si="15"/>
        <v>39017.158567934282</v>
      </c>
      <c r="H54" s="456">
        <f t="shared" si="16"/>
        <v>39017.158567934282</v>
      </c>
      <c r="I54" s="476">
        <f t="shared" si="18"/>
        <v>0</v>
      </c>
      <c r="J54" s="476"/>
      <c r="K54" s="488"/>
      <c r="L54" s="479">
        <f t="shared" si="19"/>
        <v>0</v>
      </c>
      <c r="M54" s="488"/>
      <c r="N54" s="479">
        <f t="shared" si="20"/>
        <v>0</v>
      </c>
      <c r="O54" s="479">
        <f t="shared" si="21"/>
        <v>0</v>
      </c>
      <c r="P54" s="243"/>
    </row>
    <row r="55" spans="2:16" ht="12.5">
      <c r="B55" s="160" t="str">
        <f t="shared" si="6"/>
        <v/>
      </c>
      <c r="C55" s="473">
        <f>IF(D11="","-",+C54+1)</f>
        <v>2047</v>
      </c>
      <c r="D55" s="484">
        <f>IF(F54+SUM(E$17:E54)=D$10,F54,D$10-SUM(E$17:E54))</f>
        <v>148052</v>
      </c>
      <c r="E55" s="485">
        <f>IF(+I14&lt;F54,I14,D55)</f>
        <v>20787</v>
      </c>
      <c r="F55" s="486">
        <f t="shared" si="17"/>
        <v>127265</v>
      </c>
      <c r="G55" s="487">
        <f t="shared" si="15"/>
        <v>36625.482526950793</v>
      </c>
      <c r="H55" s="456">
        <f t="shared" si="16"/>
        <v>36625.482526950793</v>
      </c>
      <c r="I55" s="476">
        <f t="shared" si="18"/>
        <v>0</v>
      </c>
      <c r="J55" s="476"/>
      <c r="K55" s="488"/>
      <c r="L55" s="479">
        <f t="shared" si="19"/>
        <v>0</v>
      </c>
      <c r="M55" s="488"/>
      <c r="N55" s="479">
        <f t="shared" si="20"/>
        <v>0</v>
      </c>
      <c r="O55" s="479">
        <f t="shared" si="21"/>
        <v>0</v>
      </c>
      <c r="P55" s="243"/>
    </row>
    <row r="56" spans="2:16" ht="12.5">
      <c r="B56" s="160" t="str">
        <f t="shared" si="6"/>
        <v/>
      </c>
      <c r="C56" s="473">
        <f>IF(D11="","-",+C55+1)</f>
        <v>2048</v>
      </c>
      <c r="D56" s="484">
        <f>IF(F55+SUM(E$17:E55)=D$10,F55,D$10-SUM(E$17:E55))</f>
        <v>127265</v>
      </c>
      <c r="E56" s="485">
        <f>IF(+I14&lt;F55,I14,D56)</f>
        <v>20787</v>
      </c>
      <c r="F56" s="486">
        <f t="shared" si="17"/>
        <v>106478</v>
      </c>
      <c r="G56" s="487">
        <f t="shared" si="15"/>
        <v>34233.806485967303</v>
      </c>
      <c r="H56" s="456">
        <f t="shared" si="16"/>
        <v>34233.806485967303</v>
      </c>
      <c r="I56" s="476">
        <f t="shared" si="18"/>
        <v>0</v>
      </c>
      <c r="J56" s="476"/>
      <c r="K56" s="488"/>
      <c r="L56" s="479">
        <f t="shared" si="19"/>
        <v>0</v>
      </c>
      <c r="M56" s="488"/>
      <c r="N56" s="479">
        <f t="shared" si="20"/>
        <v>0</v>
      </c>
      <c r="O56" s="479">
        <f t="shared" si="21"/>
        <v>0</v>
      </c>
      <c r="P56" s="243"/>
    </row>
    <row r="57" spans="2:16" ht="12.5">
      <c r="B57" s="160" t="str">
        <f t="shared" si="6"/>
        <v/>
      </c>
      <c r="C57" s="473">
        <f>IF(D11="","-",+C56+1)</f>
        <v>2049</v>
      </c>
      <c r="D57" s="484">
        <f>IF(F56+SUM(E$17:E56)=D$10,F56,D$10-SUM(E$17:E56))</f>
        <v>106478</v>
      </c>
      <c r="E57" s="485">
        <f>IF(+I14&lt;F56,I14,D57)</f>
        <v>20787</v>
      </c>
      <c r="F57" s="486">
        <f t="shared" si="17"/>
        <v>85691</v>
      </c>
      <c r="G57" s="487">
        <f t="shared" si="15"/>
        <v>31842.130444983806</v>
      </c>
      <c r="H57" s="456">
        <f t="shared" si="16"/>
        <v>31842.130444983806</v>
      </c>
      <c r="I57" s="476">
        <f t="shared" si="18"/>
        <v>0</v>
      </c>
      <c r="J57" s="476"/>
      <c r="K57" s="488"/>
      <c r="L57" s="479">
        <f t="shared" si="19"/>
        <v>0</v>
      </c>
      <c r="M57" s="488"/>
      <c r="N57" s="479">
        <f t="shared" si="20"/>
        <v>0</v>
      </c>
      <c r="O57" s="479">
        <f t="shared" si="21"/>
        <v>0</v>
      </c>
      <c r="P57" s="243"/>
    </row>
    <row r="58" spans="2:16" ht="12.5">
      <c r="B58" s="160" t="str">
        <f t="shared" si="6"/>
        <v/>
      </c>
      <c r="C58" s="473">
        <f>IF(D11="","-",+C57+1)</f>
        <v>2050</v>
      </c>
      <c r="D58" s="484">
        <f>IF(F57+SUM(E$17:E57)=D$10,F57,D$10-SUM(E$17:E57))</f>
        <v>85691</v>
      </c>
      <c r="E58" s="485">
        <f>IF(+I14&lt;F57,I14,D58)</f>
        <v>20787</v>
      </c>
      <c r="F58" s="486">
        <f t="shared" si="17"/>
        <v>64904</v>
      </c>
      <c r="G58" s="487">
        <f t="shared" si="15"/>
        <v>29450.454404000317</v>
      </c>
      <c r="H58" s="456">
        <f t="shared" si="16"/>
        <v>29450.454404000317</v>
      </c>
      <c r="I58" s="476">
        <f t="shared" si="18"/>
        <v>0</v>
      </c>
      <c r="J58" s="476"/>
      <c r="K58" s="488"/>
      <c r="L58" s="479">
        <f t="shared" si="19"/>
        <v>0</v>
      </c>
      <c r="M58" s="488"/>
      <c r="N58" s="479">
        <f t="shared" si="20"/>
        <v>0</v>
      </c>
      <c r="O58" s="479">
        <f t="shared" si="21"/>
        <v>0</v>
      </c>
      <c r="P58" s="243"/>
    </row>
    <row r="59" spans="2:16" ht="12.5">
      <c r="B59" s="160" t="str">
        <f t="shared" si="6"/>
        <v/>
      </c>
      <c r="C59" s="473">
        <f>IF(D11="","-",+C58+1)</f>
        <v>2051</v>
      </c>
      <c r="D59" s="484">
        <f>IF(F58+SUM(E$17:E58)=D$10,F58,D$10-SUM(E$17:E58))</f>
        <v>64904</v>
      </c>
      <c r="E59" s="485">
        <f>IF(+I14&lt;F58,I14,D59)</f>
        <v>20787</v>
      </c>
      <c r="F59" s="486">
        <f t="shared" si="17"/>
        <v>44117</v>
      </c>
      <c r="G59" s="487">
        <f t="shared" si="15"/>
        <v>27058.778363016823</v>
      </c>
      <c r="H59" s="456">
        <f t="shared" si="16"/>
        <v>27058.778363016823</v>
      </c>
      <c r="I59" s="476">
        <f t="shared" si="18"/>
        <v>0</v>
      </c>
      <c r="J59" s="476"/>
      <c r="K59" s="488"/>
      <c r="L59" s="479">
        <f t="shared" si="19"/>
        <v>0</v>
      </c>
      <c r="M59" s="488"/>
      <c r="N59" s="479">
        <f t="shared" si="20"/>
        <v>0</v>
      </c>
      <c r="O59" s="479">
        <f t="shared" si="21"/>
        <v>0</v>
      </c>
      <c r="P59" s="243"/>
    </row>
    <row r="60" spans="2:16" ht="12.5">
      <c r="B60" s="160" t="str">
        <f t="shared" si="6"/>
        <v/>
      </c>
      <c r="C60" s="473">
        <f>IF(D11="","-",+C59+1)</f>
        <v>2052</v>
      </c>
      <c r="D60" s="484">
        <f>IF(F59+SUM(E$17:E59)=D$10,F59,D$10-SUM(E$17:E59))</f>
        <v>44117</v>
      </c>
      <c r="E60" s="485">
        <f>IF(+I14&lt;F59,I14,D60)</f>
        <v>20787</v>
      </c>
      <c r="F60" s="486">
        <f t="shared" si="17"/>
        <v>23330</v>
      </c>
      <c r="G60" s="487">
        <f t="shared" si="15"/>
        <v>24667.10232203333</v>
      </c>
      <c r="H60" s="456">
        <f t="shared" si="16"/>
        <v>24667.10232203333</v>
      </c>
      <c r="I60" s="476">
        <f t="shared" si="18"/>
        <v>0</v>
      </c>
      <c r="J60" s="476"/>
      <c r="K60" s="488"/>
      <c r="L60" s="479">
        <f t="shared" si="19"/>
        <v>0</v>
      </c>
      <c r="M60" s="488"/>
      <c r="N60" s="479">
        <f t="shared" si="20"/>
        <v>0</v>
      </c>
      <c r="O60" s="479">
        <f t="shared" si="21"/>
        <v>0</v>
      </c>
      <c r="P60" s="243"/>
    </row>
    <row r="61" spans="2:16" ht="12.5">
      <c r="B61" s="160" t="str">
        <f t="shared" si="6"/>
        <v/>
      </c>
      <c r="C61" s="473">
        <f>IF(D11="","-",+C60+1)</f>
        <v>2053</v>
      </c>
      <c r="D61" s="484">
        <f>IF(F60+SUM(E$17:E60)=D$10,F60,D$10-SUM(E$17:E60))</f>
        <v>23330</v>
      </c>
      <c r="E61" s="485">
        <f>IF(+I14&lt;F60,I14,D61)</f>
        <v>20787</v>
      </c>
      <c r="F61" s="486">
        <f t="shared" si="17"/>
        <v>2543</v>
      </c>
      <c r="G61" s="487">
        <f t="shared" si="15"/>
        <v>22275.426281049837</v>
      </c>
      <c r="H61" s="456">
        <f t="shared" si="16"/>
        <v>22275.426281049837</v>
      </c>
      <c r="I61" s="476">
        <f t="shared" si="18"/>
        <v>0</v>
      </c>
      <c r="J61" s="476"/>
      <c r="K61" s="488"/>
      <c r="L61" s="479">
        <f t="shared" si="19"/>
        <v>0</v>
      </c>
      <c r="M61" s="488"/>
      <c r="N61" s="479">
        <f t="shared" si="20"/>
        <v>0</v>
      </c>
      <c r="O61" s="479">
        <f t="shared" si="21"/>
        <v>0</v>
      </c>
      <c r="P61" s="243"/>
    </row>
    <row r="62" spans="2:16" ht="12.5">
      <c r="B62" s="160" t="str">
        <f t="shared" si="6"/>
        <v/>
      </c>
      <c r="C62" s="473">
        <f>IF(D11="","-",+C61+1)</f>
        <v>2054</v>
      </c>
      <c r="D62" s="484">
        <f>IF(F61+SUM(E$17:E61)=D$10,F61,D$10-SUM(E$17:E61))</f>
        <v>2543</v>
      </c>
      <c r="E62" s="485">
        <f>IF(+I14&lt;F61,I14,D62)</f>
        <v>2543</v>
      </c>
      <c r="F62" s="486">
        <f t="shared" si="17"/>
        <v>0</v>
      </c>
      <c r="G62" s="487">
        <f t="shared" si="15"/>
        <v>2689.294130279045</v>
      </c>
      <c r="H62" s="456">
        <f t="shared" si="16"/>
        <v>2689.294130279045</v>
      </c>
      <c r="I62" s="476">
        <f t="shared" si="18"/>
        <v>0</v>
      </c>
      <c r="J62" s="476"/>
      <c r="K62" s="488"/>
      <c r="L62" s="479">
        <f t="shared" si="19"/>
        <v>0</v>
      </c>
      <c r="M62" s="488"/>
      <c r="N62" s="479">
        <f t="shared" si="20"/>
        <v>0</v>
      </c>
      <c r="O62" s="479">
        <f t="shared" si="21"/>
        <v>0</v>
      </c>
      <c r="P62" s="243"/>
    </row>
    <row r="63" spans="2:16" ht="12.5">
      <c r="B63" s="160" t="str">
        <f t="shared" si="6"/>
        <v/>
      </c>
      <c r="C63" s="473">
        <f>IF(D11="","-",+C62+1)</f>
        <v>2055</v>
      </c>
      <c r="D63" s="484">
        <f>IF(F62+SUM(E$17:E62)=D$10,F62,D$10-SUM(E$17:E62))</f>
        <v>0</v>
      </c>
      <c r="E63" s="485">
        <f>IF(+I14&lt;F62,I14,D63)</f>
        <v>0</v>
      </c>
      <c r="F63" s="486">
        <f t="shared" si="17"/>
        <v>0</v>
      </c>
      <c r="G63" s="487">
        <f t="shared" si="15"/>
        <v>0</v>
      </c>
      <c r="H63" s="456">
        <f t="shared" si="16"/>
        <v>0</v>
      </c>
      <c r="I63" s="476">
        <f t="shared" si="18"/>
        <v>0</v>
      </c>
      <c r="J63" s="476"/>
      <c r="K63" s="488"/>
      <c r="L63" s="479">
        <f t="shared" si="19"/>
        <v>0</v>
      </c>
      <c r="M63" s="488"/>
      <c r="N63" s="479">
        <f t="shared" si="20"/>
        <v>0</v>
      </c>
      <c r="O63" s="479">
        <f t="shared" si="21"/>
        <v>0</v>
      </c>
      <c r="P63" s="243"/>
    </row>
    <row r="64" spans="2:16" ht="12.5">
      <c r="B64" s="160" t="str">
        <f t="shared" si="6"/>
        <v/>
      </c>
      <c r="C64" s="473">
        <f>IF(D11="","-",+C63+1)</f>
        <v>2056</v>
      </c>
      <c r="D64" s="484">
        <f>IF(F63+SUM(E$17:E63)=D$10,F63,D$10-SUM(E$17:E63))</f>
        <v>0</v>
      </c>
      <c r="E64" s="485">
        <f>IF(+I14&lt;F63,I14,D64)</f>
        <v>0</v>
      </c>
      <c r="F64" s="486">
        <f t="shared" si="17"/>
        <v>0</v>
      </c>
      <c r="G64" s="487">
        <f t="shared" si="15"/>
        <v>0</v>
      </c>
      <c r="H64" s="456">
        <f t="shared" si="16"/>
        <v>0</v>
      </c>
      <c r="I64" s="476">
        <f t="shared" si="18"/>
        <v>0</v>
      </c>
      <c r="J64" s="476"/>
      <c r="K64" s="488"/>
      <c r="L64" s="479">
        <f t="shared" si="19"/>
        <v>0</v>
      </c>
      <c r="M64" s="488"/>
      <c r="N64" s="479">
        <f t="shared" si="20"/>
        <v>0</v>
      </c>
      <c r="O64" s="479">
        <f t="shared" si="21"/>
        <v>0</v>
      </c>
      <c r="P64" s="243"/>
    </row>
    <row r="65" spans="1:16" ht="12.5">
      <c r="B65" s="160" t="str">
        <f t="shared" si="6"/>
        <v/>
      </c>
      <c r="C65" s="473">
        <f>IF(D11="","-",+C64+1)</f>
        <v>2057</v>
      </c>
      <c r="D65" s="484">
        <f>IF(F64+SUM(E$17:E64)=D$10,F64,D$10-SUM(E$17:E64))</f>
        <v>0</v>
      </c>
      <c r="E65" s="485">
        <f>IF(+I14&lt;F64,I14,D65)</f>
        <v>0</v>
      </c>
      <c r="F65" s="486">
        <f t="shared" si="17"/>
        <v>0</v>
      </c>
      <c r="G65" s="487">
        <f t="shared" si="15"/>
        <v>0</v>
      </c>
      <c r="H65" s="456">
        <f t="shared" si="16"/>
        <v>0</v>
      </c>
      <c r="I65" s="476">
        <f t="shared" si="18"/>
        <v>0</v>
      </c>
      <c r="J65" s="476"/>
      <c r="K65" s="488"/>
      <c r="L65" s="479">
        <f t="shared" si="19"/>
        <v>0</v>
      </c>
      <c r="M65" s="488"/>
      <c r="N65" s="479">
        <f t="shared" si="20"/>
        <v>0</v>
      </c>
      <c r="O65" s="479">
        <f t="shared" si="21"/>
        <v>0</v>
      </c>
      <c r="P65" s="243"/>
    </row>
    <row r="66" spans="1:16" ht="12.5">
      <c r="B66" s="160" t="str">
        <f t="shared" si="6"/>
        <v/>
      </c>
      <c r="C66" s="473">
        <f>IF(D11="","-",+C65+1)</f>
        <v>2058</v>
      </c>
      <c r="D66" s="484">
        <f>IF(F65+SUM(E$17:E65)=D$10,F65,D$10-SUM(E$17:E65))</f>
        <v>0</v>
      </c>
      <c r="E66" s="485">
        <f>IF(+I14&lt;F65,I14,D66)</f>
        <v>0</v>
      </c>
      <c r="F66" s="486">
        <f t="shared" si="17"/>
        <v>0</v>
      </c>
      <c r="G66" s="487">
        <f t="shared" si="15"/>
        <v>0</v>
      </c>
      <c r="H66" s="456">
        <f t="shared" si="16"/>
        <v>0</v>
      </c>
      <c r="I66" s="476">
        <f t="shared" si="18"/>
        <v>0</v>
      </c>
      <c r="J66" s="476"/>
      <c r="K66" s="488"/>
      <c r="L66" s="479">
        <f t="shared" si="19"/>
        <v>0</v>
      </c>
      <c r="M66" s="488"/>
      <c r="N66" s="479">
        <f t="shared" si="20"/>
        <v>0</v>
      </c>
      <c r="O66" s="479">
        <f t="shared" si="21"/>
        <v>0</v>
      </c>
      <c r="P66" s="243"/>
    </row>
    <row r="67" spans="1:16" ht="12.5">
      <c r="B67" s="160" t="str">
        <f t="shared" si="6"/>
        <v/>
      </c>
      <c r="C67" s="473">
        <f>IF(D11="","-",+C66+1)</f>
        <v>2059</v>
      </c>
      <c r="D67" s="484">
        <f>IF(F66+SUM(E$17:E66)=D$10,F66,D$10-SUM(E$17:E66))</f>
        <v>0</v>
      </c>
      <c r="E67" s="485">
        <f>IF(+I14&lt;F66,I14,D67)</f>
        <v>0</v>
      </c>
      <c r="F67" s="486">
        <f t="shared" si="17"/>
        <v>0</v>
      </c>
      <c r="G67" s="487">
        <f t="shared" si="15"/>
        <v>0</v>
      </c>
      <c r="H67" s="456">
        <f t="shared" si="16"/>
        <v>0</v>
      </c>
      <c r="I67" s="476">
        <f t="shared" si="18"/>
        <v>0</v>
      </c>
      <c r="J67" s="476"/>
      <c r="K67" s="488"/>
      <c r="L67" s="479">
        <f t="shared" si="19"/>
        <v>0</v>
      </c>
      <c r="M67" s="488"/>
      <c r="N67" s="479">
        <f t="shared" si="20"/>
        <v>0</v>
      </c>
      <c r="O67" s="479">
        <f t="shared" si="21"/>
        <v>0</v>
      </c>
      <c r="P67" s="243"/>
    </row>
    <row r="68" spans="1:16" ht="12.5">
      <c r="B68" s="160" t="str">
        <f t="shared" si="6"/>
        <v/>
      </c>
      <c r="C68" s="473">
        <f>IF(D11="","-",+C67+1)</f>
        <v>2060</v>
      </c>
      <c r="D68" s="484">
        <f>IF(F67+SUM(E$17:E67)=D$10,F67,D$10-SUM(E$17:E67))</f>
        <v>0</v>
      </c>
      <c r="E68" s="485">
        <f>IF(+I14&lt;F67,I14,D68)</f>
        <v>0</v>
      </c>
      <c r="F68" s="486">
        <f t="shared" si="17"/>
        <v>0</v>
      </c>
      <c r="G68" s="487">
        <f t="shared" si="15"/>
        <v>0</v>
      </c>
      <c r="H68" s="456">
        <f t="shared" si="16"/>
        <v>0</v>
      </c>
      <c r="I68" s="476">
        <f t="shared" si="18"/>
        <v>0</v>
      </c>
      <c r="J68" s="476"/>
      <c r="K68" s="488"/>
      <c r="L68" s="479">
        <f t="shared" si="19"/>
        <v>0</v>
      </c>
      <c r="M68" s="488"/>
      <c r="N68" s="479">
        <f t="shared" si="20"/>
        <v>0</v>
      </c>
      <c r="O68" s="479">
        <f t="shared" si="21"/>
        <v>0</v>
      </c>
      <c r="P68" s="243"/>
    </row>
    <row r="69" spans="1:16" ht="12.5">
      <c r="B69" s="160" t="str">
        <f t="shared" si="6"/>
        <v/>
      </c>
      <c r="C69" s="473">
        <f>IF(D11="","-",+C68+1)</f>
        <v>2061</v>
      </c>
      <c r="D69" s="484">
        <f>IF(F68+SUM(E$17:E68)=D$10,F68,D$10-SUM(E$17:E68))</f>
        <v>0</v>
      </c>
      <c r="E69" s="485">
        <f>IF(+I14&lt;F68,I14,D69)</f>
        <v>0</v>
      </c>
      <c r="F69" s="486">
        <f t="shared" si="17"/>
        <v>0</v>
      </c>
      <c r="G69" s="487">
        <f t="shared" si="15"/>
        <v>0</v>
      </c>
      <c r="H69" s="456">
        <f t="shared" si="16"/>
        <v>0</v>
      </c>
      <c r="I69" s="476">
        <f t="shared" si="18"/>
        <v>0</v>
      </c>
      <c r="J69" s="476"/>
      <c r="K69" s="488"/>
      <c r="L69" s="479">
        <f t="shared" si="19"/>
        <v>0</v>
      </c>
      <c r="M69" s="488"/>
      <c r="N69" s="479">
        <f t="shared" si="20"/>
        <v>0</v>
      </c>
      <c r="O69" s="479">
        <f t="shared" si="21"/>
        <v>0</v>
      </c>
      <c r="P69" s="243"/>
    </row>
    <row r="70" spans="1:16" ht="12.5">
      <c r="B70" s="160" t="str">
        <f t="shared" si="6"/>
        <v/>
      </c>
      <c r="C70" s="473">
        <f>IF(D11="","-",+C69+1)</f>
        <v>2062</v>
      </c>
      <c r="D70" s="484">
        <f>IF(F69+SUM(E$17:E69)=D$10,F69,D$10-SUM(E$17:E69))</f>
        <v>0</v>
      </c>
      <c r="E70" s="485">
        <f>IF(+I14&lt;F69,I14,D70)</f>
        <v>0</v>
      </c>
      <c r="F70" s="486">
        <f t="shared" si="17"/>
        <v>0</v>
      </c>
      <c r="G70" s="487">
        <f t="shared" si="15"/>
        <v>0</v>
      </c>
      <c r="H70" s="456">
        <f t="shared" si="16"/>
        <v>0</v>
      </c>
      <c r="I70" s="476">
        <f t="shared" si="18"/>
        <v>0</v>
      </c>
      <c r="J70" s="476"/>
      <c r="K70" s="488"/>
      <c r="L70" s="479">
        <f t="shared" si="19"/>
        <v>0</v>
      </c>
      <c r="M70" s="488"/>
      <c r="N70" s="479">
        <f t="shared" si="20"/>
        <v>0</v>
      </c>
      <c r="O70" s="479">
        <f t="shared" si="21"/>
        <v>0</v>
      </c>
      <c r="P70" s="243"/>
    </row>
    <row r="71" spans="1:16" ht="12.5">
      <c r="B71" s="160" t="str">
        <f t="shared" si="6"/>
        <v/>
      </c>
      <c r="C71" s="473">
        <f>IF(D11="","-",+C70+1)</f>
        <v>2063</v>
      </c>
      <c r="D71" s="484">
        <f>IF(F70+SUM(E$17:E70)=D$10,F70,D$10-SUM(E$17:E70))</f>
        <v>0</v>
      </c>
      <c r="E71" s="485">
        <f>IF(+I14&lt;F70,I14,D71)</f>
        <v>0</v>
      </c>
      <c r="F71" s="486">
        <f t="shared" si="17"/>
        <v>0</v>
      </c>
      <c r="G71" s="487">
        <f t="shared" si="15"/>
        <v>0</v>
      </c>
      <c r="H71" s="456">
        <f t="shared" si="16"/>
        <v>0</v>
      </c>
      <c r="I71" s="476">
        <f t="shared" si="18"/>
        <v>0</v>
      </c>
      <c r="J71" s="476"/>
      <c r="K71" s="488"/>
      <c r="L71" s="479">
        <f t="shared" si="19"/>
        <v>0</v>
      </c>
      <c r="M71" s="488"/>
      <c r="N71" s="479">
        <f t="shared" si="20"/>
        <v>0</v>
      </c>
      <c r="O71" s="479">
        <f t="shared" si="21"/>
        <v>0</v>
      </c>
      <c r="P71" s="243"/>
    </row>
    <row r="72" spans="1:16" ht="13" thickBot="1">
      <c r="B72" s="160" t="str">
        <f t="shared" si="6"/>
        <v/>
      </c>
      <c r="C72" s="490">
        <f>IF(D11="","-",+C71+1)</f>
        <v>2064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7"/>
        <v>0</v>
      </c>
      <c r="G72" s="491">
        <f t="shared" si="15"/>
        <v>0</v>
      </c>
      <c r="H72" s="491">
        <f t="shared" si="16"/>
        <v>0</v>
      </c>
      <c r="I72" s="494">
        <f t="shared" si="18"/>
        <v>0</v>
      </c>
      <c r="J72" s="476"/>
      <c r="K72" s="495"/>
      <c r="L72" s="496">
        <f t="shared" si="19"/>
        <v>0</v>
      </c>
      <c r="M72" s="495"/>
      <c r="N72" s="496">
        <f t="shared" si="20"/>
        <v>0</v>
      </c>
      <c r="O72" s="496">
        <f t="shared" si="21"/>
        <v>0</v>
      </c>
      <c r="P72" s="243"/>
    </row>
    <row r="73" spans="1:16" ht="12.5">
      <c r="C73" s="347" t="s">
        <v>77</v>
      </c>
      <c r="D73" s="348"/>
      <c r="E73" s="348">
        <f>SUM(E17:E72)</f>
        <v>893858</v>
      </c>
      <c r="F73" s="348"/>
      <c r="G73" s="348">
        <f>SUM(G17:G72)</f>
        <v>3436240.3672236181</v>
      </c>
      <c r="H73" s="348">
        <f>SUM(H17:H72)</f>
        <v>3436240.3672236181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1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1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1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1:16" ht="17.5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498"/>
      <c r="P77" s="243"/>
    </row>
    <row r="78" spans="1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1:16" ht="15.5">
      <c r="A79" s="499"/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</row>
    <row r="80" spans="1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500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1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96794.079800478314</v>
      </c>
      <c r="N87" s="509">
        <f>IF(J92&lt;D11,0,VLOOKUP(J92,C17:O72,11))</f>
        <v>96794.079800478314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100406.03532694498</v>
      </c>
      <c r="N88" s="513">
        <f>IF(J92&lt;D11,0,VLOOKUP(J92,C99:P154,7))</f>
        <v>100406.03532694498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Riverside-Glenpool (81-523) Reconductor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3611.9555264666706</v>
      </c>
      <c r="N89" s="518">
        <f>+N88-N87</f>
        <v>3611.9555264666706</v>
      </c>
      <c r="O89" s="519">
        <f>+O88-O87</f>
        <v>0</v>
      </c>
      <c r="P89" s="233"/>
    </row>
    <row r="90" spans="1:16" ht="13.5" thickBot="1">
      <c r="C90" s="497"/>
      <c r="D90" s="520" t="str">
        <f>D8</f>
        <v/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TP2006087</v>
      </c>
      <c r="E91" s="523"/>
      <c r="F91" s="523"/>
      <c r="G91" s="523"/>
      <c r="H91" s="523"/>
      <c r="I91" s="523"/>
      <c r="J91" s="524"/>
      <c r="K91" s="525"/>
      <c r="P91" s="446"/>
    </row>
    <row r="92" spans="1:16" ht="13">
      <c r="C92" s="447" t="s">
        <v>226</v>
      </c>
      <c r="D92" s="448">
        <v>893858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6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20787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2009</v>
      </c>
      <c r="D99" s="474">
        <v>0</v>
      </c>
      <c r="E99" s="481">
        <v>7981</v>
      </c>
      <c r="F99" s="480">
        <v>885877</v>
      </c>
      <c r="G99" s="538">
        <v>442938.5</v>
      </c>
      <c r="H99" s="539">
        <v>72742</v>
      </c>
      <c r="I99" s="540">
        <v>72742</v>
      </c>
      <c r="J99" s="479">
        <f t="shared" ref="J99:J130" si="22">+I99-H99</f>
        <v>0</v>
      </c>
      <c r="K99" s="479"/>
      <c r="L99" s="477">
        <f t="shared" ref="L99:L104" si="23">H99</f>
        <v>72742</v>
      </c>
      <c r="M99" s="478">
        <f t="shared" ref="M99:M130" si="24">IF(L99&lt;&gt;0,+H99-L99,0)</f>
        <v>0</v>
      </c>
      <c r="N99" s="477">
        <f t="shared" ref="N99:N104" si="25">I99</f>
        <v>72742</v>
      </c>
      <c r="O99" s="478">
        <f t="shared" ref="O99:O130" si="26">IF(N99&lt;&gt;0,+I99-N99,0)</f>
        <v>0</v>
      </c>
      <c r="P99" s="478">
        <f t="shared" ref="P99:P130" si="27">+O99-M99</f>
        <v>0</v>
      </c>
    </row>
    <row r="100" spans="1:16" ht="12.5">
      <c r="B100" s="160" t="str">
        <f>IF(D100=F99,"","IU")</f>
        <v/>
      </c>
      <c r="C100" s="473">
        <f>IF(D93="","-",+C99+1)</f>
        <v>2010</v>
      </c>
      <c r="D100" s="474">
        <v>885877</v>
      </c>
      <c r="E100" s="481">
        <v>17527</v>
      </c>
      <c r="F100" s="480">
        <v>868350</v>
      </c>
      <c r="G100" s="480">
        <v>877113.5</v>
      </c>
      <c r="H100" s="539">
        <v>158580.20000000001</v>
      </c>
      <c r="I100" s="540">
        <v>158580.20000000001</v>
      </c>
      <c r="J100" s="479">
        <f t="shared" si="22"/>
        <v>0</v>
      </c>
      <c r="K100" s="479"/>
      <c r="L100" s="477">
        <f t="shared" si="23"/>
        <v>158580.20000000001</v>
      </c>
      <c r="M100" s="479">
        <f t="shared" si="24"/>
        <v>0</v>
      </c>
      <c r="N100" s="477">
        <f t="shared" si="25"/>
        <v>158580.20000000001</v>
      </c>
      <c r="O100" s="479">
        <f t="shared" si="26"/>
        <v>0</v>
      </c>
      <c r="P100" s="479">
        <f t="shared" si="27"/>
        <v>0</v>
      </c>
    </row>
    <row r="101" spans="1:16" ht="12.5">
      <c r="B101" s="160" t="str">
        <f t="shared" ref="B101:B154" si="28">IF(D101=F100,"","IU")</f>
        <v/>
      </c>
      <c r="C101" s="483">
        <f>IF(D93="","-",+C100+1)</f>
        <v>2011</v>
      </c>
      <c r="D101" s="474">
        <v>868350</v>
      </c>
      <c r="E101" s="481">
        <v>17190</v>
      </c>
      <c r="F101" s="480">
        <v>851160</v>
      </c>
      <c r="G101" s="480">
        <v>859755</v>
      </c>
      <c r="H101" s="481">
        <v>137395.30233025842</v>
      </c>
      <c r="I101" s="482">
        <v>137395.30233025842</v>
      </c>
      <c r="J101" s="479">
        <f t="shared" si="22"/>
        <v>0</v>
      </c>
      <c r="K101" s="479"/>
      <c r="L101" s="541">
        <f t="shared" si="23"/>
        <v>137395.30233025842</v>
      </c>
      <c r="M101" s="542">
        <f t="shared" si="24"/>
        <v>0</v>
      </c>
      <c r="N101" s="541">
        <f t="shared" si="25"/>
        <v>137395.30233025842</v>
      </c>
      <c r="O101" s="479">
        <f t="shared" si="26"/>
        <v>0</v>
      </c>
      <c r="P101" s="479">
        <f t="shared" si="27"/>
        <v>0</v>
      </c>
    </row>
    <row r="102" spans="1:16" ht="12.5">
      <c r="B102" s="160" t="str">
        <f t="shared" si="28"/>
        <v/>
      </c>
      <c r="C102" s="483">
        <f>IF(D93="","-",+C101+1)</f>
        <v>2012</v>
      </c>
      <c r="D102" s="474">
        <v>851160</v>
      </c>
      <c r="E102" s="481">
        <v>17190</v>
      </c>
      <c r="F102" s="480">
        <v>833970</v>
      </c>
      <c r="G102" s="480">
        <v>842565</v>
      </c>
      <c r="H102" s="481">
        <v>138397.59402070014</v>
      </c>
      <c r="I102" s="482">
        <v>138397.59402070014</v>
      </c>
      <c r="J102" s="479">
        <v>0</v>
      </c>
      <c r="K102" s="479"/>
      <c r="L102" s="541">
        <f t="shared" si="23"/>
        <v>138397.59402070014</v>
      </c>
      <c r="M102" s="542">
        <f t="shared" ref="M102:M107" si="29">IF(L102&lt;&gt;0,+H102-L102,0)</f>
        <v>0</v>
      </c>
      <c r="N102" s="541">
        <f t="shared" si="25"/>
        <v>138397.59402070014</v>
      </c>
      <c r="O102" s="479">
        <f t="shared" ref="O102:O107" si="30">IF(N102&lt;&gt;0,+I102-N102,0)</f>
        <v>0</v>
      </c>
      <c r="P102" s="479">
        <f t="shared" ref="P102:P107" si="31">+O102-M102</f>
        <v>0</v>
      </c>
    </row>
    <row r="103" spans="1:16" ht="12.5">
      <c r="B103" s="160" t="str">
        <f t="shared" si="28"/>
        <v/>
      </c>
      <c r="C103" s="473">
        <f>IF(D93="","-",+C102+1)</f>
        <v>2013</v>
      </c>
      <c r="D103" s="474">
        <v>833970</v>
      </c>
      <c r="E103" s="481">
        <v>17190</v>
      </c>
      <c r="F103" s="480">
        <v>816780</v>
      </c>
      <c r="G103" s="480">
        <v>825375</v>
      </c>
      <c r="H103" s="481">
        <v>135994.14234787846</v>
      </c>
      <c r="I103" s="482">
        <v>135994.14234787846</v>
      </c>
      <c r="J103" s="479">
        <v>0</v>
      </c>
      <c r="K103" s="479"/>
      <c r="L103" s="541">
        <f t="shared" si="23"/>
        <v>135994.14234787846</v>
      </c>
      <c r="M103" s="542">
        <f t="shared" si="29"/>
        <v>0</v>
      </c>
      <c r="N103" s="541">
        <f t="shared" si="25"/>
        <v>135994.14234787846</v>
      </c>
      <c r="O103" s="479">
        <f t="shared" si="30"/>
        <v>0</v>
      </c>
      <c r="P103" s="479">
        <f t="shared" si="31"/>
        <v>0</v>
      </c>
    </row>
    <row r="104" spans="1:16" ht="12.5">
      <c r="B104" s="160" t="str">
        <f t="shared" si="28"/>
        <v/>
      </c>
      <c r="C104" s="473">
        <f>IF(D93="","-",+C103+1)</f>
        <v>2014</v>
      </c>
      <c r="D104" s="474">
        <v>816780</v>
      </c>
      <c r="E104" s="481">
        <v>17190</v>
      </c>
      <c r="F104" s="480">
        <v>799590</v>
      </c>
      <c r="G104" s="480">
        <v>808185</v>
      </c>
      <c r="H104" s="481">
        <v>130817.50733584017</v>
      </c>
      <c r="I104" s="482">
        <v>130817.50733584017</v>
      </c>
      <c r="J104" s="479">
        <v>0</v>
      </c>
      <c r="K104" s="479"/>
      <c r="L104" s="541">
        <f t="shared" si="23"/>
        <v>130817.50733584017</v>
      </c>
      <c r="M104" s="542">
        <f t="shared" si="29"/>
        <v>0</v>
      </c>
      <c r="N104" s="541">
        <f t="shared" si="25"/>
        <v>130817.50733584017</v>
      </c>
      <c r="O104" s="479">
        <f t="shared" si="30"/>
        <v>0</v>
      </c>
      <c r="P104" s="479">
        <f t="shared" si="31"/>
        <v>0</v>
      </c>
    </row>
    <row r="105" spans="1:16" ht="12.5">
      <c r="B105" s="160" t="str">
        <f t="shared" si="28"/>
        <v/>
      </c>
      <c r="C105" s="473">
        <f>IF(D93="","-",+C104+1)</f>
        <v>2015</v>
      </c>
      <c r="D105" s="474">
        <v>799590</v>
      </c>
      <c r="E105" s="481">
        <v>17190</v>
      </c>
      <c r="F105" s="480">
        <v>782400</v>
      </c>
      <c r="G105" s="480">
        <v>790995</v>
      </c>
      <c r="H105" s="481">
        <v>125114.9078367878</v>
      </c>
      <c r="I105" s="482">
        <v>125114.9078367878</v>
      </c>
      <c r="J105" s="479">
        <f t="shared" si="22"/>
        <v>0</v>
      </c>
      <c r="K105" s="479"/>
      <c r="L105" s="541">
        <f>H105</f>
        <v>125114.9078367878</v>
      </c>
      <c r="M105" s="542">
        <f t="shared" si="29"/>
        <v>0</v>
      </c>
      <c r="N105" s="541">
        <f>I105</f>
        <v>125114.9078367878</v>
      </c>
      <c r="O105" s="479">
        <f t="shared" si="30"/>
        <v>0</v>
      </c>
      <c r="P105" s="479">
        <f t="shared" si="31"/>
        <v>0</v>
      </c>
    </row>
    <row r="106" spans="1:16" ht="12.5">
      <c r="B106" s="160" t="str">
        <f t="shared" si="28"/>
        <v/>
      </c>
      <c r="C106" s="473">
        <f>IF(D93="","-",+C105+1)</f>
        <v>2016</v>
      </c>
      <c r="D106" s="474">
        <v>782400</v>
      </c>
      <c r="E106" s="481">
        <v>19432</v>
      </c>
      <c r="F106" s="480">
        <v>762968</v>
      </c>
      <c r="G106" s="480">
        <v>772684</v>
      </c>
      <c r="H106" s="481">
        <v>119043.13650322839</v>
      </c>
      <c r="I106" s="482">
        <v>119043.13650322839</v>
      </c>
      <c r="J106" s="479">
        <f t="shared" si="22"/>
        <v>0</v>
      </c>
      <c r="K106" s="479"/>
      <c r="L106" s="541">
        <f>H106</f>
        <v>119043.13650322839</v>
      </c>
      <c r="M106" s="542">
        <f t="shared" si="29"/>
        <v>0</v>
      </c>
      <c r="N106" s="541">
        <f>I106</f>
        <v>119043.13650322839</v>
      </c>
      <c r="O106" s="479">
        <f t="shared" si="30"/>
        <v>0</v>
      </c>
      <c r="P106" s="479">
        <f t="shared" si="31"/>
        <v>0</v>
      </c>
    </row>
    <row r="107" spans="1:16" ht="12.5">
      <c r="B107" s="160" t="str">
        <f t="shared" si="28"/>
        <v/>
      </c>
      <c r="C107" s="473">
        <f>IF(D93="","-",+C106+1)</f>
        <v>2017</v>
      </c>
      <c r="D107" s="474">
        <v>762968</v>
      </c>
      <c r="E107" s="481">
        <v>19432</v>
      </c>
      <c r="F107" s="480">
        <v>743536</v>
      </c>
      <c r="G107" s="480">
        <v>753252</v>
      </c>
      <c r="H107" s="481">
        <v>114983.91552559278</v>
      </c>
      <c r="I107" s="482">
        <v>114983.91552559278</v>
      </c>
      <c r="J107" s="479">
        <f t="shared" si="22"/>
        <v>0</v>
      </c>
      <c r="K107" s="479"/>
      <c r="L107" s="541">
        <f>H107</f>
        <v>114983.91552559278</v>
      </c>
      <c r="M107" s="542">
        <f t="shared" si="29"/>
        <v>0</v>
      </c>
      <c r="N107" s="541">
        <f>I107</f>
        <v>114983.91552559278</v>
      </c>
      <c r="O107" s="479">
        <f t="shared" si="30"/>
        <v>0</v>
      </c>
      <c r="P107" s="479">
        <f t="shared" si="31"/>
        <v>0</v>
      </c>
    </row>
    <row r="108" spans="1:16" ht="12.5">
      <c r="B108" s="160" t="str">
        <f t="shared" si="28"/>
        <v/>
      </c>
      <c r="C108" s="473">
        <f>IF(D93="","-",+C107+1)</f>
        <v>2018</v>
      </c>
      <c r="D108" s="474">
        <v>743536</v>
      </c>
      <c r="E108" s="481">
        <v>20787</v>
      </c>
      <c r="F108" s="480">
        <v>722749</v>
      </c>
      <c r="G108" s="480">
        <v>733142.5</v>
      </c>
      <c r="H108" s="481">
        <v>96106.810302403712</v>
      </c>
      <c r="I108" s="482">
        <v>96106.810302403712</v>
      </c>
      <c r="J108" s="479">
        <f t="shared" si="22"/>
        <v>0</v>
      </c>
      <c r="K108" s="479"/>
      <c r="L108" s="541">
        <f>H108</f>
        <v>96106.810302403712</v>
      </c>
      <c r="M108" s="542">
        <f t="shared" ref="M108" si="32">IF(L108&lt;&gt;0,+H108-L108,0)</f>
        <v>0</v>
      </c>
      <c r="N108" s="541">
        <f>I108</f>
        <v>96106.810302403712</v>
      </c>
      <c r="O108" s="479">
        <f t="shared" ref="O108" si="33">IF(N108&lt;&gt;0,+I108-N108,0)</f>
        <v>0</v>
      </c>
      <c r="P108" s="479">
        <f t="shared" ref="P108" si="34">+O108-M108</f>
        <v>0</v>
      </c>
    </row>
    <row r="109" spans="1:16" ht="12.5">
      <c r="B109" s="160" t="str">
        <f t="shared" si="28"/>
        <v/>
      </c>
      <c r="C109" s="473">
        <f>IF(D93="","-",+C108+1)</f>
        <v>2019</v>
      </c>
      <c r="D109" s="474">
        <v>722749</v>
      </c>
      <c r="E109" s="481">
        <v>21801</v>
      </c>
      <c r="F109" s="480">
        <v>700948</v>
      </c>
      <c r="G109" s="480">
        <v>711848.5</v>
      </c>
      <c r="H109" s="481">
        <v>95202.564794457576</v>
      </c>
      <c r="I109" s="482">
        <v>95202.564794457576</v>
      </c>
      <c r="J109" s="479">
        <f t="shared" si="22"/>
        <v>0</v>
      </c>
      <c r="K109" s="479"/>
      <c r="L109" s="541">
        <f>H109</f>
        <v>95202.564794457576</v>
      </c>
      <c r="M109" s="542">
        <f t="shared" ref="M109" si="35">IF(L109&lt;&gt;0,+H109-L109,0)</f>
        <v>0</v>
      </c>
      <c r="N109" s="541">
        <f>I109</f>
        <v>95202.564794457576</v>
      </c>
      <c r="O109" s="479">
        <f t="shared" si="26"/>
        <v>0</v>
      </c>
      <c r="P109" s="479">
        <f t="shared" si="27"/>
        <v>0</v>
      </c>
    </row>
    <row r="110" spans="1:16" ht="12.5">
      <c r="B110" s="160" t="str">
        <f t="shared" si="28"/>
        <v/>
      </c>
      <c r="C110" s="473">
        <f>IF(D93="","-",+C109+1)</f>
        <v>2020</v>
      </c>
      <c r="D110" s="347">
        <f>IF(F109+SUM(E$99:E109)=D$92,F109,D$92-SUM(E$99:E109))</f>
        <v>700948</v>
      </c>
      <c r="E110" s="487">
        <f>IF(+J96&lt;F109,J96,D110)</f>
        <v>20787</v>
      </c>
      <c r="F110" s="486">
        <f t="shared" ref="F110:F130" si="36">+D110-E110</f>
        <v>680161</v>
      </c>
      <c r="G110" s="486">
        <f t="shared" ref="G110:G130" si="37">+(F110+D110)/2</f>
        <v>690554.5</v>
      </c>
      <c r="H110" s="487">
        <f>(D110+F110)/2*J$94+E110</f>
        <v>100406.03532694498</v>
      </c>
      <c r="I110" s="543">
        <f t="shared" ref="I110:I131" si="38">+J$95*G110+E110</f>
        <v>100406.03532694498</v>
      </c>
      <c r="J110" s="479">
        <f t="shared" si="22"/>
        <v>0</v>
      </c>
      <c r="K110" s="479"/>
      <c r="L110" s="488"/>
      <c r="M110" s="479">
        <f t="shared" si="24"/>
        <v>0</v>
      </c>
      <c r="N110" s="488"/>
      <c r="O110" s="479">
        <f t="shared" si="26"/>
        <v>0</v>
      </c>
      <c r="P110" s="479">
        <f t="shared" si="27"/>
        <v>0</v>
      </c>
    </row>
    <row r="111" spans="1:16" ht="12.5">
      <c r="B111" s="160" t="str">
        <f t="shared" si="28"/>
        <v/>
      </c>
      <c r="C111" s="473">
        <f>IF(D93="","-",+C110+1)</f>
        <v>2021</v>
      </c>
      <c r="D111" s="347">
        <f>IF(F110+SUM(E$99:E110)=D$92,F110,D$92-SUM(E$99:E110))</f>
        <v>680161</v>
      </c>
      <c r="E111" s="487">
        <f>IF(+J96&lt;F110,J96,D111)</f>
        <v>20787</v>
      </c>
      <c r="F111" s="486">
        <f t="shared" si="36"/>
        <v>659374</v>
      </c>
      <c r="G111" s="486">
        <f t="shared" si="37"/>
        <v>669767.5</v>
      </c>
      <c r="H111" s="487">
        <f t="shared" ref="H111:H154" si="39">(D111+F111)/2*J$94+E111</f>
        <v>98009.351376089253</v>
      </c>
      <c r="I111" s="543">
        <f t="shared" si="38"/>
        <v>98009.351376089253</v>
      </c>
      <c r="J111" s="479">
        <f t="shared" si="22"/>
        <v>0</v>
      </c>
      <c r="K111" s="479"/>
      <c r="L111" s="488"/>
      <c r="M111" s="479">
        <f t="shared" si="24"/>
        <v>0</v>
      </c>
      <c r="N111" s="488"/>
      <c r="O111" s="479">
        <f t="shared" si="26"/>
        <v>0</v>
      </c>
      <c r="P111" s="479">
        <f t="shared" si="27"/>
        <v>0</v>
      </c>
    </row>
    <row r="112" spans="1:16" ht="12.5">
      <c r="B112" s="160" t="str">
        <f t="shared" si="28"/>
        <v/>
      </c>
      <c r="C112" s="473">
        <f>IF(D93="","-",+C111+1)</f>
        <v>2022</v>
      </c>
      <c r="D112" s="347">
        <f>IF(F111+SUM(E$99:E111)=D$92,F111,D$92-SUM(E$99:E111))</f>
        <v>659374</v>
      </c>
      <c r="E112" s="487">
        <f>IF(+J96&lt;F111,J96,D112)</f>
        <v>20787</v>
      </c>
      <c r="F112" s="486">
        <f t="shared" si="36"/>
        <v>638587</v>
      </c>
      <c r="G112" s="486">
        <f t="shared" si="37"/>
        <v>648980.5</v>
      </c>
      <c r="H112" s="487">
        <f t="shared" si="39"/>
        <v>95612.667425233521</v>
      </c>
      <c r="I112" s="543">
        <f t="shared" si="38"/>
        <v>95612.667425233521</v>
      </c>
      <c r="J112" s="479">
        <f t="shared" si="22"/>
        <v>0</v>
      </c>
      <c r="K112" s="479"/>
      <c r="L112" s="488"/>
      <c r="M112" s="479">
        <f t="shared" si="24"/>
        <v>0</v>
      </c>
      <c r="N112" s="488"/>
      <c r="O112" s="479">
        <f t="shared" si="26"/>
        <v>0</v>
      </c>
      <c r="P112" s="479">
        <f t="shared" si="27"/>
        <v>0</v>
      </c>
    </row>
    <row r="113" spans="2:16" ht="12.5">
      <c r="B113" s="160" t="str">
        <f t="shared" si="28"/>
        <v/>
      </c>
      <c r="C113" s="473">
        <f>IF(D93="","-",+C112+1)</f>
        <v>2023</v>
      </c>
      <c r="D113" s="347">
        <f>IF(F112+SUM(E$99:E112)=D$92,F112,D$92-SUM(E$99:E112))</f>
        <v>638587</v>
      </c>
      <c r="E113" s="487">
        <f>IF(+J96&lt;F112,J96,D113)</f>
        <v>20787</v>
      </c>
      <c r="F113" s="486">
        <f t="shared" si="36"/>
        <v>617800</v>
      </c>
      <c r="G113" s="486">
        <f t="shared" si="37"/>
        <v>628193.5</v>
      </c>
      <c r="H113" s="487">
        <f t="shared" si="39"/>
        <v>93215.98347437779</v>
      </c>
      <c r="I113" s="543">
        <f t="shared" si="38"/>
        <v>93215.98347437779</v>
      </c>
      <c r="J113" s="479">
        <f t="shared" si="22"/>
        <v>0</v>
      </c>
      <c r="K113" s="479"/>
      <c r="L113" s="488"/>
      <c r="M113" s="479">
        <f t="shared" si="24"/>
        <v>0</v>
      </c>
      <c r="N113" s="488"/>
      <c r="O113" s="479">
        <f t="shared" si="26"/>
        <v>0</v>
      </c>
      <c r="P113" s="479">
        <f t="shared" si="27"/>
        <v>0</v>
      </c>
    </row>
    <row r="114" spans="2:16" ht="12.5">
      <c r="B114" s="160" t="str">
        <f t="shared" si="28"/>
        <v/>
      </c>
      <c r="C114" s="473">
        <f>IF(D93="","-",+C113+1)</f>
        <v>2024</v>
      </c>
      <c r="D114" s="347">
        <f>IF(F113+SUM(E$99:E113)=D$92,F113,D$92-SUM(E$99:E113))</f>
        <v>617800</v>
      </c>
      <c r="E114" s="487">
        <f>IF(+J96&lt;F113,J96,D114)</f>
        <v>20787</v>
      </c>
      <c r="F114" s="486">
        <f t="shared" si="36"/>
        <v>597013</v>
      </c>
      <c r="G114" s="486">
        <f t="shared" si="37"/>
        <v>607406.5</v>
      </c>
      <c r="H114" s="487">
        <f t="shared" si="39"/>
        <v>90819.299523522059</v>
      </c>
      <c r="I114" s="543">
        <f t="shared" si="38"/>
        <v>90819.299523522059</v>
      </c>
      <c r="J114" s="479">
        <f t="shared" si="22"/>
        <v>0</v>
      </c>
      <c r="K114" s="479"/>
      <c r="L114" s="488"/>
      <c r="M114" s="479">
        <f t="shared" si="24"/>
        <v>0</v>
      </c>
      <c r="N114" s="488"/>
      <c r="O114" s="479">
        <f t="shared" si="26"/>
        <v>0</v>
      </c>
      <c r="P114" s="479">
        <f t="shared" si="27"/>
        <v>0</v>
      </c>
    </row>
    <row r="115" spans="2:16" ht="12.5">
      <c r="B115" s="160" t="str">
        <f t="shared" si="28"/>
        <v/>
      </c>
      <c r="C115" s="473">
        <f>IF(D93="","-",+C114+1)</f>
        <v>2025</v>
      </c>
      <c r="D115" s="347">
        <f>IF(F114+SUM(E$99:E114)=D$92,F114,D$92-SUM(E$99:E114))</f>
        <v>597013</v>
      </c>
      <c r="E115" s="487">
        <f>IF(+J96&lt;F114,J96,D115)</f>
        <v>20787</v>
      </c>
      <c r="F115" s="486">
        <f t="shared" si="36"/>
        <v>576226</v>
      </c>
      <c r="G115" s="486">
        <f t="shared" si="37"/>
        <v>586619.5</v>
      </c>
      <c r="H115" s="487">
        <f t="shared" si="39"/>
        <v>88422.615572666327</v>
      </c>
      <c r="I115" s="543">
        <f t="shared" si="38"/>
        <v>88422.615572666327</v>
      </c>
      <c r="J115" s="479">
        <f t="shared" si="22"/>
        <v>0</v>
      </c>
      <c r="K115" s="479"/>
      <c r="L115" s="488"/>
      <c r="M115" s="479">
        <f t="shared" si="24"/>
        <v>0</v>
      </c>
      <c r="N115" s="488"/>
      <c r="O115" s="479">
        <f t="shared" si="26"/>
        <v>0</v>
      </c>
      <c r="P115" s="479">
        <f t="shared" si="27"/>
        <v>0</v>
      </c>
    </row>
    <row r="116" spans="2:16" ht="12.5">
      <c r="B116" s="160" t="str">
        <f t="shared" si="28"/>
        <v/>
      </c>
      <c r="C116" s="473">
        <f>IF(D93="","-",+C115+1)</f>
        <v>2026</v>
      </c>
      <c r="D116" s="347">
        <f>IF(F115+SUM(E$99:E115)=D$92,F115,D$92-SUM(E$99:E115))</f>
        <v>576226</v>
      </c>
      <c r="E116" s="487">
        <f>IF(+J96&lt;F115,J96,D116)</f>
        <v>20787</v>
      </c>
      <c r="F116" s="486">
        <f t="shared" si="36"/>
        <v>555439</v>
      </c>
      <c r="G116" s="486">
        <f t="shared" si="37"/>
        <v>565832.5</v>
      </c>
      <c r="H116" s="487">
        <f t="shared" si="39"/>
        <v>86025.931621810596</v>
      </c>
      <c r="I116" s="543">
        <f t="shared" si="38"/>
        <v>86025.931621810596</v>
      </c>
      <c r="J116" s="479">
        <f t="shared" si="22"/>
        <v>0</v>
      </c>
      <c r="K116" s="479"/>
      <c r="L116" s="488"/>
      <c r="M116" s="479">
        <f t="shared" si="24"/>
        <v>0</v>
      </c>
      <c r="N116" s="488"/>
      <c r="O116" s="479">
        <f t="shared" si="26"/>
        <v>0</v>
      </c>
      <c r="P116" s="479">
        <f t="shared" si="27"/>
        <v>0</v>
      </c>
    </row>
    <row r="117" spans="2:16" ht="12.5">
      <c r="B117" s="160" t="str">
        <f t="shared" si="28"/>
        <v/>
      </c>
      <c r="C117" s="473">
        <f>IF(D93="","-",+C116+1)</f>
        <v>2027</v>
      </c>
      <c r="D117" s="347">
        <f>IF(F116+SUM(E$99:E116)=D$92,F116,D$92-SUM(E$99:E116))</f>
        <v>555439</v>
      </c>
      <c r="E117" s="487">
        <f>IF(+J96&lt;F116,J96,D117)</f>
        <v>20787</v>
      </c>
      <c r="F117" s="486">
        <f t="shared" si="36"/>
        <v>534652</v>
      </c>
      <c r="G117" s="486">
        <f t="shared" si="37"/>
        <v>545045.5</v>
      </c>
      <c r="H117" s="487">
        <f t="shared" si="39"/>
        <v>83629.24767095485</v>
      </c>
      <c r="I117" s="543">
        <f t="shared" si="38"/>
        <v>83629.24767095485</v>
      </c>
      <c r="J117" s="479">
        <f t="shared" si="22"/>
        <v>0</v>
      </c>
      <c r="K117" s="479"/>
      <c r="L117" s="488"/>
      <c r="M117" s="479">
        <f t="shared" si="24"/>
        <v>0</v>
      </c>
      <c r="N117" s="488"/>
      <c r="O117" s="479">
        <f t="shared" si="26"/>
        <v>0</v>
      </c>
      <c r="P117" s="479">
        <f t="shared" si="27"/>
        <v>0</v>
      </c>
    </row>
    <row r="118" spans="2:16" ht="12.5">
      <c r="B118" s="160" t="str">
        <f t="shared" si="28"/>
        <v/>
      </c>
      <c r="C118" s="473">
        <f>IF(D93="","-",+C117+1)</f>
        <v>2028</v>
      </c>
      <c r="D118" s="347">
        <f>IF(F117+SUM(E$99:E117)=D$92,F117,D$92-SUM(E$99:E117))</f>
        <v>534652</v>
      </c>
      <c r="E118" s="487">
        <f>IF(+J96&lt;F117,J96,D118)</f>
        <v>20787</v>
      </c>
      <c r="F118" s="486">
        <f t="shared" si="36"/>
        <v>513865</v>
      </c>
      <c r="G118" s="486">
        <f t="shared" si="37"/>
        <v>524258.5</v>
      </c>
      <c r="H118" s="487">
        <f t="shared" si="39"/>
        <v>81232.563720099133</v>
      </c>
      <c r="I118" s="543">
        <f t="shared" si="38"/>
        <v>81232.563720099133</v>
      </c>
      <c r="J118" s="479">
        <f t="shared" si="22"/>
        <v>0</v>
      </c>
      <c r="K118" s="479"/>
      <c r="L118" s="488"/>
      <c r="M118" s="479">
        <f t="shared" si="24"/>
        <v>0</v>
      </c>
      <c r="N118" s="488"/>
      <c r="O118" s="479">
        <f t="shared" si="26"/>
        <v>0</v>
      </c>
      <c r="P118" s="479">
        <f t="shared" si="27"/>
        <v>0</v>
      </c>
    </row>
    <row r="119" spans="2:16" ht="12.5">
      <c r="B119" s="160" t="str">
        <f t="shared" si="28"/>
        <v/>
      </c>
      <c r="C119" s="473">
        <f>IF(D93="","-",+C118+1)</f>
        <v>2029</v>
      </c>
      <c r="D119" s="347">
        <f>IF(F118+SUM(E$99:E118)=D$92,F118,D$92-SUM(E$99:E118))</f>
        <v>513865</v>
      </c>
      <c r="E119" s="487">
        <f>IF(+J96&lt;F118,J96,D119)</f>
        <v>20787</v>
      </c>
      <c r="F119" s="486">
        <f t="shared" si="36"/>
        <v>493078</v>
      </c>
      <c r="G119" s="486">
        <f t="shared" si="37"/>
        <v>503471.5</v>
      </c>
      <c r="H119" s="487">
        <f t="shared" si="39"/>
        <v>78835.879769243387</v>
      </c>
      <c r="I119" s="543">
        <f t="shared" si="38"/>
        <v>78835.879769243387</v>
      </c>
      <c r="J119" s="479">
        <f t="shared" si="22"/>
        <v>0</v>
      </c>
      <c r="K119" s="479"/>
      <c r="L119" s="488"/>
      <c r="M119" s="479">
        <f t="shared" si="24"/>
        <v>0</v>
      </c>
      <c r="N119" s="488"/>
      <c r="O119" s="479">
        <f t="shared" si="26"/>
        <v>0</v>
      </c>
      <c r="P119" s="479">
        <f t="shared" si="27"/>
        <v>0</v>
      </c>
    </row>
    <row r="120" spans="2:16" ht="12.5">
      <c r="B120" s="160" t="str">
        <f t="shared" si="28"/>
        <v/>
      </c>
      <c r="C120" s="473">
        <f>IF(D93="","-",+C119+1)</f>
        <v>2030</v>
      </c>
      <c r="D120" s="347">
        <f>IF(F119+SUM(E$99:E119)=D$92,F119,D$92-SUM(E$99:E119))</f>
        <v>493078</v>
      </c>
      <c r="E120" s="487">
        <f>IF(+J96&lt;F119,J96,D120)</f>
        <v>20787</v>
      </c>
      <c r="F120" s="486">
        <f t="shared" si="36"/>
        <v>472291</v>
      </c>
      <c r="G120" s="486">
        <f t="shared" si="37"/>
        <v>482684.5</v>
      </c>
      <c r="H120" s="487">
        <f t="shared" si="39"/>
        <v>76439.195818387656</v>
      </c>
      <c r="I120" s="543">
        <f t="shared" si="38"/>
        <v>76439.195818387656</v>
      </c>
      <c r="J120" s="479">
        <f t="shared" si="22"/>
        <v>0</v>
      </c>
      <c r="K120" s="479"/>
      <c r="L120" s="488"/>
      <c r="M120" s="479">
        <f t="shared" si="24"/>
        <v>0</v>
      </c>
      <c r="N120" s="488"/>
      <c r="O120" s="479">
        <f t="shared" si="26"/>
        <v>0</v>
      </c>
      <c r="P120" s="479">
        <f t="shared" si="27"/>
        <v>0</v>
      </c>
    </row>
    <row r="121" spans="2:16" ht="12.5">
      <c r="B121" s="160" t="str">
        <f t="shared" si="28"/>
        <v/>
      </c>
      <c r="C121" s="473">
        <f>IF(D93="","-",+C120+1)</f>
        <v>2031</v>
      </c>
      <c r="D121" s="347">
        <f>IF(F120+SUM(E$99:E120)=D$92,F120,D$92-SUM(E$99:E120))</f>
        <v>472291</v>
      </c>
      <c r="E121" s="487">
        <f>IF(+J96&lt;F120,J96,D121)</f>
        <v>20787</v>
      </c>
      <c r="F121" s="486">
        <f t="shared" si="36"/>
        <v>451504</v>
      </c>
      <c r="G121" s="486">
        <f t="shared" si="37"/>
        <v>461897.5</v>
      </c>
      <c r="H121" s="487">
        <f t="shared" si="39"/>
        <v>74042.511867531925</v>
      </c>
      <c r="I121" s="543">
        <f t="shared" si="38"/>
        <v>74042.511867531925</v>
      </c>
      <c r="J121" s="479">
        <f t="shared" si="22"/>
        <v>0</v>
      </c>
      <c r="K121" s="479"/>
      <c r="L121" s="488"/>
      <c r="M121" s="479">
        <f t="shared" si="24"/>
        <v>0</v>
      </c>
      <c r="N121" s="488"/>
      <c r="O121" s="479">
        <f t="shared" si="26"/>
        <v>0</v>
      </c>
      <c r="P121" s="479">
        <f t="shared" si="27"/>
        <v>0</v>
      </c>
    </row>
    <row r="122" spans="2:16" ht="12.5">
      <c r="B122" s="160" t="str">
        <f t="shared" si="28"/>
        <v/>
      </c>
      <c r="C122" s="473">
        <f>IF(D93="","-",+C121+1)</f>
        <v>2032</v>
      </c>
      <c r="D122" s="347">
        <f>IF(F121+SUM(E$99:E121)=D$92,F121,D$92-SUM(E$99:E121))</f>
        <v>451504</v>
      </c>
      <c r="E122" s="487">
        <f>IF(+J96&lt;F121,J96,D122)</f>
        <v>20787</v>
      </c>
      <c r="F122" s="486">
        <f t="shared" si="36"/>
        <v>430717</v>
      </c>
      <c r="G122" s="486">
        <f t="shared" si="37"/>
        <v>441110.5</v>
      </c>
      <c r="H122" s="487">
        <f t="shared" si="39"/>
        <v>71645.827916676193</v>
      </c>
      <c r="I122" s="543">
        <f t="shared" si="38"/>
        <v>71645.827916676193</v>
      </c>
      <c r="J122" s="479">
        <f t="shared" si="22"/>
        <v>0</v>
      </c>
      <c r="K122" s="479"/>
      <c r="L122" s="488"/>
      <c r="M122" s="479">
        <f t="shared" si="24"/>
        <v>0</v>
      </c>
      <c r="N122" s="488"/>
      <c r="O122" s="479">
        <f t="shared" si="26"/>
        <v>0</v>
      </c>
      <c r="P122" s="479">
        <f t="shared" si="27"/>
        <v>0</v>
      </c>
    </row>
    <row r="123" spans="2:16" ht="12.5">
      <c r="B123" s="160" t="str">
        <f t="shared" si="28"/>
        <v/>
      </c>
      <c r="C123" s="473">
        <f>IF(D93="","-",+C122+1)</f>
        <v>2033</v>
      </c>
      <c r="D123" s="347">
        <f>IF(F122+SUM(E$99:E122)=D$92,F122,D$92-SUM(E$99:E122))</f>
        <v>430717</v>
      </c>
      <c r="E123" s="487">
        <f>IF(+J96&lt;F122,J96,D123)</f>
        <v>20787</v>
      </c>
      <c r="F123" s="486">
        <f t="shared" si="36"/>
        <v>409930</v>
      </c>
      <c r="G123" s="486">
        <f t="shared" si="37"/>
        <v>420323.5</v>
      </c>
      <c r="H123" s="487">
        <f t="shared" si="39"/>
        <v>69249.143965820462</v>
      </c>
      <c r="I123" s="543">
        <f t="shared" si="38"/>
        <v>69249.143965820462</v>
      </c>
      <c r="J123" s="479">
        <f t="shared" si="22"/>
        <v>0</v>
      </c>
      <c r="K123" s="479"/>
      <c r="L123" s="488"/>
      <c r="M123" s="479">
        <f t="shared" si="24"/>
        <v>0</v>
      </c>
      <c r="N123" s="488"/>
      <c r="O123" s="479">
        <f t="shared" si="26"/>
        <v>0</v>
      </c>
      <c r="P123" s="479">
        <f t="shared" si="27"/>
        <v>0</v>
      </c>
    </row>
    <row r="124" spans="2:16" ht="12.5">
      <c r="B124" s="160" t="str">
        <f t="shared" si="28"/>
        <v/>
      </c>
      <c r="C124" s="473">
        <f>IF(D93="","-",+C123+1)</f>
        <v>2034</v>
      </c>
      <c r="D124" s="347">
        <f>IF(F123+SUM(E$99:E123)=D$92,F123,D$92-SUM(E$99:E123))</f>
        <v>409930</v>
      </c>
      <c r="E124" s="487">
        <f>IF(+J96&lt;F123,J96,D124)</f>
        <v>20787</v>
      </c>
      <c r="F124" s="486">
        <f t="shared" si="36"/>
        <v>389143</v>
      </c>
      <c r="G124" s="486">
        <f t="shared" si="37"/>
        <v>399536.5</v>
      </c>
      <c r="H124" s="487">
        <f t="shared" si="39"/>
        <v>66852.460014964716</v>
      </c>
      <c r="I124" s="543">
        <f t="shared" si="38"/>
        <v>66852.460014964716</v>
      </c>
      <c r="J124" s="479">
        <f t="shared" si="22"/>
        <v>0</v>
      </c>
      <c r="K124" s="479"/>
      <c r="L124" s="488"/>
      <c r="M124" s="479">
        <f t="shared" si="24"/>
        <v>0</v>
      </c>
      <c r="N124" s="488"/>
      <c r="O124" s="479">
        <f t="shared" si="26"/>
        <v>0</v>
      </c>
      <c r="P124" s="479">
        <f t="shared" si="27"/>
        <v>0</v>
      </c>
    </row>
    <row r="125" spans="2:16" ht="12.5">
      <c r="B125" s="160" t="str">
        <f t="shared" si="28"/>
        <v/>
      </c>
      <c r="C125" s="473">
        <f>IF(D93="","-",+C124+1)</f>
        <v>2035</v>
      </c>
      <c r="D125" s="347">
        <f>IF(F124+SUM(E$99:E124)=D$92,F124,D$92-SUM(E$99:E124))</f>
        <v>389143</v>
      </c>
      <c r="E125" s="487">
        <f>IF(+J96&lt;F124,J96,D125)</f>
        <v>20787</v>
      </c>
      <c r="F125" s="486">
        <f t="shared" si="36"/>
        <v>368356</v>
      </c>
      <c r="G125" s="486">
        <f t="shared" si="37"/>
        <v>378749.5</v>
      </c>
      <c r="H125" s="487">
        <f t="shared" si="39"/>
        <v>64455.776064108992</v>
      </c>
      <c r="I125" s="543">
        <f t="shared" si="38"/>
        <v>64455.776064108992</v>
      </c>
      <c r="J125" s="479">
        <f t="shared" si="22"/>
        <v>0</v>
      </c>
      <c r="K125" s="479"/>
      <c r="L125" s="488"/>
      <c r="M125" s="479">
        <f t="shared" si="24"/>
        <v>0</v>
      </c>
      <c r="N125" s="488"/>
      <c r="O125" s="479">
        <f t="shared" si="26"/>
        <v>0</v>
      </c>
      <c r="P125" s="479">
        <f t="shared" si="27"/>
        <v>0</v>
      </c>
    </row>
    <row r="126" spans="2:16" ht="12.5">
      <c r="B126" s="160" t="str">
        <f t="shared" si="28"/>
        <v/>
      </c>
      <c r="C126" s="473">
        <f>IF(D93="","-",+C125+1)</f>
        <v>2036</v>
      </c>
      <c r="D126" s="347">
        <f>IF(F125+SUM(E$99:E125)=D$92,F125,D$92-SUM(E$99:E125))</f>
        <v>368356</v>
      </c>
      <c r="E126" s="487">
        <f>IF(+J96&lt;F125,J96,D126)</f>
        <v>20787</v>
      </c>
      <c r="F126" s="486">
        <f t="shared" si="36"/>
        <v>347569</v>
      </c>
      <c r="G126" s="486">
        <f t="shared" si="37"/>
        <v>357962.5</v>
      </c>
      <c r="H126" s="487">
        <f t="shared" si="39"/>
        <v>62059.09211325326</v>
      </c>
      <c r="I126" s="543">
        <f t="shared" si="38"/>
        <v>62059.09211325326</v>
      </c>
      <c r="J126" s="479">
        <f t="shared" si="22"/>
        <v>0</v>
      </c>
      <c r="K126" s="479"/>
      <c r="L126" s="488"/>
      <c r="M126" s="479">
        <f t="shared" si="24"/>
        <v>0</v>
      </c>
      <c r="N126" s="488"/>
      <c r="O126" s="479">
        <f t="shared" si="26"/>
        <v>0</v>
      </c>
      <c r="P126" s="479">
        <f t="shared" si="27"/>
        <v>0</v>
      </c>
    </row>
    <row r="127" spans="2:16" ht="12.5">
      <c r="B127" s="160" t="str">
        <f t="shared" si="28"/>
        <v/>
      </c>
      <c r="C127" s="473">
        <f>IF(D93="","-",+C126+1)</f>
        <v>2037</v>
      </c>
      <c r="D127" s="347">
        <f>IF(F126+SUM(E$99:E126)=D$92,F126,D$92-SUM(E$99:E126))</f>
        <v>347569</v>
      </c>
      <c r="E127" s="487">
        <f>IF(+J96&lt;F126,J96,D127)</f>
        <v>20787</v>
      </c>
      <c r="F127" s="486">
        <f t="shared" si="36"/>
        <v>326782</v>
      </c>
      <c r="G127" s="486">
        <f t="shared" si="37"/>
        <v>337175.5</v>
      </c>
      <c r="H127" s="487">
        <f t="shared" si="39"/>
        <v>59662.408162397522</v>
      </c>
      <c r="I127" s="543">
        <f t="shared" si="38"/>
        <v>59662.408162397522</v>
      </c>
      <c r="J127" s="479">
        <f t="shared" si="22"/>
        <v>0</v>
      </c>
      <c r="K127" s="479"/>
      <c r="L127" s="488"/>
      <c r="M127" s="479">
        <f t="shared" si="24"/>
        <v>0</v>
      </c>
      <c r="N127" s="488"/>
      <c r="O127" s="479">
        <f t="shared" si="26"/>
        <v>0</v>
      </c>
      <c r="P127" s="479">
        <f t="shared" si="27"/>
        <v>0</v>
      </c>
    </row>
    <row r="128" spans="2:16" ht="12.5">
      <c r="B128" s="160" t="str">
        <f t="shared" si="28"/>
        <v/>
      </c>
      <c r="C128" s="473">
        <f>IF(D93="","-",+C127+1)</f>
        <v>2038</v>
      </c>
      <c r="D128" s="347">
        <f>IF(F127+SUM(E$99:E127)=D$92,F127,D$92-SUM(E$99:E127))</f>
        <v>326782</v>
      </c>
      <c r="E128" s="487">
        <f>IF(+J96&lt;F127,J96,D128)</f>
        <v>20787</v>
      </c>
      <c r="F128" s="486">
        <f t="shared" si="36"/>
        <v>305995</v>
      </c>
      <c r="G128" s="486">
        <f t="shared" si="37"/>
        <v>316388.5</v>
      </c>
      <c r="H128" s="487">
        <f t="shared" si="39"/>
        <v>57265.72421154179</v>
      </c>
      <c r="I128" s="543">
        <f t="shared" si="38"/>
        <v>57265.72421154179</v>
      </c>
      <c r="J128" s="479">
        <f t="shared" si="22"/>
        <v>0</v>
      </c>
      <c r="K128" s="479"/>
      <c r="L128" s="488"/>
      <c r="M128" s="479">
        <f t="shared" si="24"/>
        <v>0</v>
      </c>
      <c r="N128" s="488"/>
      <c r="O128" s="479">
        <f t="shared" si="26"/>
        <v>0</v>
      </c>
      <c r="P128" s="479">
        <f t="shared" si="27"/>
        <v>0</v>
      </c>
    </row>
    <row r="129" spans="2:16" ht="12.5">
      <c r="B129" s="160" t="str">
        <f t="shared" si="28"/>
        <v/>
      </c>
      <c r="C129" s="473">
        <f>IF(D93="","-",+C128+1)</f>
        <v>2039</v>
      </c>
      <c r="D129" s="347">
        <f>IF(F128+SUM(E$99:E128)=D$92,F128,D$92-SUM(E$99:E128))</f>
        <v>305995</v>
      </c>
      <c r="E129" s="487">
        <f>IF(+J96&lt;F128,J96,D129)</f>
        <v>20787</v>
      </c>
      <c r="F129" s="486">
        <f t="shared" si="36"/>
        <v>285208</v>
      </c>
      <c r="G129" s="486">
        <f t="shared" si="37"/>
        <v>295601.5</v>
      </c>
      <c r="H129" s="487">
        <f t="shared" si="39"/>
        <v>54869.040260686059</v>
      </c>
      <c r="I129" s="543">
        <f t="shared" si="38"/>
        <v>54869.040260686059</v>
      </c>
      <c r="J129" s="479">
        <f t="shared" si="22"/>
        <v>0</v>
      </c>
      <c r="K129" s="479"/>
      <c r="L129" s="488"/>
      <c r="M129" s="479">
        <f t="shared" si="24"/>
        <v>0</v>
      </c>
      <c r="N129" s="488"/>
      <c r="O129" s="479">
        <f t="shared" si="26"/>
        <v>0</v>
      </c>
      <c r="P129" s="479">
        <f t="shared" si="27"/>
        <v>0</v>
      </c>
    </row>
    <row r="130" spans="2:16" ht="12.5">
      <c r="B130" s="160" t="str">
        <f t="shared" si="28"/>
        <v/>
      </c>
      <c r="C130" s="473">
        <f>IF(D93="","-",+C129+1)</f>
        <v>2040</v>
      </c>
      <c r="D130" s="347">
        <f>IF(F129+SUM(E$99:E129)=D$92,F129,D$92-SUM(E$99:E129))</f>
        <v>285208</v>
      </c>
      <c r="E130" s="487">
        <f>IF(+J96&lt;F129,J96,D130)</f>
        <v>20787</v>
      </c>
      <c r="F130" s="486">
        <f t="shared" si="36"/>
        <v>264421</v>
      </c>
      <c r="G130" s="486">
        <f t="shared" si="37"/>
        <v>274814.5</v>
      </c>
      <c r="H130" s="487">
        <f t="shared" si="39"/>
        <v>52472.356309830328</v>
      </c>
      <c r="I130" s="543">
        <f t="shared" si="38"/>
        <v>52472.356309830328</v>
      </c>
      <c r="J130" s="479">
        <f t="shared" si="22"/>
        <v>0</v>
      </c>
      <c r="K130" s="479"/>
      <c r="L130" s="488"/>
      <c r="M130" s="479">
        <f t="shared" si="24"/>
        <v>0</v>
      </c>
      <c r="N130" s="488"/>
      <c r="O130" s="479">
        <f t="shared" si="26"/>
        <v>0</v>
      </c>
      <c r="P130" s="479">
        <f t="shared" si="27"/>
        <v>0</v>
      </c>
    </row>
    <row r="131" spans="2:16" ht="12.5">
      <c r="B131" s="160" t="str">
        <f t="shared" si="28"/>
        <v/>
      </c>
      <c r="C131" s="473">
        <f>IF(D93="","-",+C130+1)</f>
        <v>2041</v>
      </c>
      <c r="D131" s="347">
        <f>IF(F130+SUM(E$99:E130)=D$92,F130,D$92-SUM(E$99:E130))</f>
        <v>264421</v>
      </c>
      <c r="E131" s="487">
        <f>IF(+J96&lt;F130,J96,D131)</f>
        <v>20787</v>
      </c>
      <c r="F131" s="486">
        <f t="shared" ref="F131:F154" si="40">+D131-E131</f>
        <v>243634</v>
      </c>
      <c r="G131" s="486">
        <f t="shared" ref="G131:G154" si="41">+(F131+D131)/2</f>
        <v>254027.5</v>
      </c>
      <c r="H131" s="487">
        <f t="shared" si="39"/>
        <v>50075.672358974589</v>
      </c>
      <c r="I131" s="543">
        <f t="shared" si="38"/>
        <v>50075.672358974589</v>
      </c>
      <c r="J131" s="479">
        <f t="shared" ref="J131:J154" si="42">+I131-H131</f>
        <v>0</v>
      </c>
      <c r="K131" s="479"/>
      <c r="L131" s="488"/>
      <c r="M131" s="479">
        <f t="shared" ref="M131:M154" si="43">IF(L131&lt;&gt;0,+H131-L131,0)</f>
        <v>0</v>
      </c>
      <c r="N131" s="488"/>
      <c r="O131" s="479">
        <f t="shared" ref="O131:O154" si="44">IF(N131&lt;&gt;0,+I131-N131,0)</f>
        <v>0</v>
      </c>
      <c r="P131" s="479">
        <f t="shared" ref="P131:P154" si="45">+O131-M131</f>
        <v>0</v>
      </c>
    </row>
    <row r="132" spans="2:16" ht="12.5">
      <c r="B132" s="160" t="str">
        <f t="shared" si="28"/>
        <v/>
      </c>
      <c r="C132" s="473">
        <f>IF(D93="","-",+C131+1)</f>
        <v>2042</v>
      </c>
      <c r="D132" s="347">
        <f>IF(F131+SUM(E$99:E131)=D$92,F131,D$92-SUM(E$99:E131))</f>
        <v>243634</v>
      </c>
      <c r="E132" s="487">
        <f>IF(+J96&lt;F131,J96,D132)</f>
        <v>20787</v>
      </c>
      <c r="F132" s="486">
        <f t="shared" si="40"/>
        <v>222847</v>
      </c>
      <c r="G132" s="486">
        <f t="shared" si="41"/>
        <v>233240.5</v>
      </c>
      <c r="H132" s="487">
        <f t="shared" si="39"/>
        <v>47678.988408118857</v>
      </c>
      <c r="I132" s="543">
        <f t="shared" ref="I132:I154" si="46">+J$95*G132+E132</f>
        <v>47678.988408118857</v>
      </c>
      <c r="J132" s="479">
        <f t="shared" si="42"/>
        <v>0</v>
      </c>
      <c r="K132" s="479"/>
      <c r="L132" s="488"/>
      <c r="M132" s="479">
        <f t="shared" si="43"/>
        <v>0</v>
      </c>
      <c r="N132" s="488"/>
      <c r="O132" s="479">
        <f t="shared" si="44"/>
        <v>0</v>
      </c>
      <c r="P132" s="479">
        <f t="shared" si="45"/>
        <v>0</v>
      </c>
    </row>
    <row r="133" spans="2:16" ht="12.5">
      <c r="B133" s="160" t="str">
        <f t="shared" si="28"/>
        <v/>
      </c>
      <c r="C133" s="473">
        <f>IF(D93="","-",+C132+1)</f>
        <v>2043</v>
      </c>
      <c r="D133" s="347">
        <f>IF(F132+SUM(E$99:E132)=D$92,F132,D$92-SUM(E$99:E132))</f>
        <v>222847</v>
      </c>
      <c r="E133" s="487">
        <f>IF(+J96&lt;F132,J96,D133)</f>
        <v>20787</v>
      </c>
      <c r="F133" s="486">
        <f t="shared" si="40"/>
        <v>202060</v>
      </c>
      <c r="G133" s="486">
        <f t="shared" si="41"/>
        <v>212453.5</v>
      </c>
      <c r="H133" s="487">
        <f t="shared" si="39"/>
        <v>45282.304457263119</v>
      </c>
      <c r="I133" s="543">
        <f t="shared" si="46"/>
        <v>45282.304457263119</v>
      </c>
      <c r="J133" s="479">
        <f t="shared" si="42"/>
        <v>0</v>
      </c>
      <c r="K133" s="479"/>
      <c r="L133" s="488"/>
      <c r="M133" s="479">
        <f t="shared" si="43"/>
        <v>0</v>
      </c>
      <c r="N133" s="488"/>
      <c r="O133" s="479">
        <f t="shared" si="44"/>
        <v>0</v>
      </c>
      <c r="P133" s="479">
        <f t="shared" si="45"/>
        <v>0</v>
      </c>
    </row>
    <row r="134" spans="2:16" ht="12.5">
      <c r="B134" s="160" t="str">
        <f t="shared" si="28"/>
        <v/>
      </c>
      <c r="C134" s="473">
        <f>IF(D93="","-",+C133+1)</f>
        <v>2044</v>
      </c>
      <c r="D134" s="347">
        <f>IF(F133+SUM(E$99:E133)=D$92,F133,D$92-SUM(E$99:E133))</f>
        <v>202060</v>
      </c>
      <c r="E134" s="487">
        <f>IF(+J96&lt;F133,J96,D134)</f>
        <v>20787</v>
      </c>
      <c r="F134" s="486">
        <f t="shared" si="40"/>
        <v>181273</v>
      </c>
      <c r="G134" s="486">
        <f t="shared" si="41"/>
        <v>191666.5</v>
      </c>
      <c r="H134" s="487">
        <f t="shared" si="39"/>
        <v>42885.620506407387</v>
      </c>
      <c r="I134" s="543">
        <f t="shared" si="46"/>
        <v>42885.620506407387</v>
      </c>
      <c r="J134" s="479">
        <f t="shared" si="42"/>
        <v>0</v>
      </c>
      <c r="K134" s="479"/>
      <c r="L134" s="488"/>
      <c r="M134" s="479">
        <f t="shared" si="43"/>
        <v>0</v>
      </c>
      <c r="N134" s="488"/>
      <c r="O134" s="479">
        <f t="shared" si="44"/>
        <v>0</v>
      </c>
      <c r="P134" s="479">
        <f t="shared" si="45"/>
        <v>0</v>
      </c>
    </row>
    <row r="135" spans="2:16" ht="12.5">
      <c r="B135" s="160" t="str">
        <f t="shared" si="28"/>
        <v/>
      </c>
      <c r="C135" s="473">
        <f>IF(D93="","-",+C134+1)</f>
        <v>2045</v>
      </c>
      <c r="D135" s="347">
        <f>IF(F134+SUM(E$99:E134)=D$92,F134,D$92-SUM(E$99:E134))</f>
        <v>181273</v>
      </c>
      <c r="E135" s="487">
        <f>IF(+J96&lt;F134,J96,D135)</f>
        <v>20787</v>
      </c>
      <c r="F135" s="486">
        <f t="shared" si="40"/>
        <v>160486</v>
      </c>
      <c r="G135" s="486">
        <f t="shared" si="41"/>
        <v>170879.5</v>
      </c>
      <c r="H135" s="487">
        <f t="shared" si="39"/>
        <v>40488.936555551656</v>
      </c>
      <c r="I135" s="543">
        <f t="shared" si="46"/>
        <v>40488.936555551656</v>
      </c>
      <c r="J135" s="479">
        <f t="shared" si="42"/>
        <v>0</v>
      </c>
      <c r="K135" s="479"/>
      <c r="L135" s="488"/>
      <c r="M135" s="479">
        <f t="shared" si="43"/>
        <v>0</v>
      </c>
      <c r="N135" s="488"/>
      <c r="O135" s="479">
        <f t="shared" si="44"/>
        <v>0</v>
      </c>
      <c r="P135" s="479">
        <f t="shared" si="45"/>
        <v>0</v>
      </c>
    </row>
    <row r="136" spans="2:16" ht="12.5">
      <c r="B136" s="160" t="str">
        <f t="shared" si="28"/>
        <v/>
      </c>
      <c r="C136" s="473">
        <f>IF(D93="","-",+C135+1)</f>
        <v>2046</v>
      </c>
      <c r="D136" s="347">
        <f>IF(F135+SUM(E$99:E135)=D$92,F135,D$92-SUM(E$99:E135))</f>
        <v>160486</v>
      </c>
      <c r="E136" s="487">
        <f>IF(+J96&lt;F135,J96,D136)</f>
        <v>20787</v>
      </c>
      <c r="F136" s="486">
        <f t="shared" si="40"/>
        <v>139699</v>
      </c>
      <c r="G136" s="486">
        <f t="shared" si="41"/>
        <v>150092.5</v>
      </c>
      <c r="H136" s="487">
        <f t="shared" si="39"/>
        <v>38092.252604695925</v>
      </c>
      <c r="I136" s="543">
        <f t="shared" si="46"/>
        <v>38092.252604695925</v>
      </c>
      <c r="J136" s="479">
        <f t="shared" si="42"/>
        <v>0</v>
      </c>
      <c r="K136" s="479"/>
      <c r="L136" s="488"/>
      <c r="M136" s="479">
        <f t="shared" si="43"/>
        <v>0</v>
      </c>
      <c r="N136" s="488"/>
      <c r="O136" s="479">
        <f t="shared" si="44"/>
        <v>0</v>
      </c>
      <c r="P136" s="479">
        <f t="shared" si="45"/>
        <v>0</v>
      </c>
    </row>
    <row r="137" spans="2:16" ht="12.5">
      <c r="B137" s="160" t="str">
        <f t="shared" si="28"/>
        <v/>
      </c>
      <c r="C137" s="473">
        <f>IF(D93="","-",+C136+1)</f>
        <v>2047</v>
      </c>
      <c r="D137" s="347">
        <f>IF(F136+SUM(E$99:E136)=D$92,F136,D$92-SUM(E$99:E136))</f>
        <v>139699</v>
      </c>
      <c r="E137" s="487">
        <f>IF(+J96&lt;F136,J96,D137)</f>
        <v>20787</v>
      </c>
      <c r="F137" s="486">
        <f t="shared" si="40"/>
        <v>118912</v>
      </c>
      <c r="G137" s="486">
        <f t="shared" si="41"/>
        <v>129305.5</v>
      </c>
      <c r="H137" s="487">
        <f t="shared" si="39"/>
        <v>35695.568653840193</v>
      </c>
      <c r="I137" s="543">
        <f t="shared" si="46"/>
        <v>35695.568653840193</v>
      </c>
      <c r="J137" s="479">
        <f t="shared" si="42"/>
        <v>0</v>
      </c>
      <c r="K137" s="479"/>
      <c r="L137" s="488"/>
      <c r="M137" s="479">
        <f t="shared" si="43"/>
        <v>0</v>
      </c>
      <c r="N137" s="488"/>
      <c r="O137" s="479">
        <f t="shared" si="44"/>
        <v>0</v>
      </c>
      <c r="P137" s="479">
        <f t="shared" si="45"/>
        <v>0</v>
      </c>
    </row>
    <row r="138" spans="2:16" ht="12.5">
      <c r="B138" s="160" t="str">
        <f t="shared" si="28"/>
        <v/>
      </c>
      <c r="C138" s="473">
        <f>IF(D93="","-",+C137+1)</f>
        <v>2048</v>
      </c>
      <c r="D138" s="347">
        <f>IF(F137+SUM(E$99:E137)=D$92,F137,D$92-SUM(E$99:E137))</f>
        <v>118912</v>
      </c>
      <c r="E138" s="487">
        <f>IF(+J96&lt;F137,J96,D138)</f>
        <v>20787</v>
      </c>
      <c r="F138" s="486">
        <f t="shared" si="40"/>
        <v>98125</v>
      </c>
      <c r="G138" s="486">
        <f t="shared" si="41"/>
        <v>108518.5</v>
      </c>
      <c r="H138" s="487">
        <f t="shared" si="39"/>
        <v>33298.884702984455</v>
      </c>
      <c r="I138" s="543">
        <f t="shared" si="46"/>
        <v>33298.884702984455</v>
      </c>
      <c r="J138" s="479">
        <f t="shared" si="42"/>
        <v>0</v>
      </c>
      <c r="K138" s="479"/>
      <c r="L138" s="488"/>
      <c r="M138" s="479">
        <f t="shared" si="43"/>
        <v>0</v>
      </c>
      <c r="N138" s="488"/>
      <c r="O138" s="479">
        <f t="shared" si="44"/>
        <v>0</v>
      </c>
      <c r="P138" s="479">
        <f t="shared" si="45"/>
        <v>0</v>
      </c>
    </row>
    <row r="139" spans="2:16" ht="12.5">
      <c r="B139" s="160" t="str">
        <f t="shared" si="28"/>
        <v/>
      </c>
      <c r="C139" s="473">
        <f>IF(D93="","-",+C138+1)</f>
        <v>2049</v>
      </c>
      <c r="D139" s="347">
        <f>IF(F138+SUM(E$99:E138)=D$92,F138,D$92-SUM(E$99:E138))</f>
        <v>98125</v>
      </c>
      <c r="E139" s="487">
        <f>IF(+J96&lt;F138,J96,D139)</f>
        <v>20787</v>
      </c>
      <c r="F139" s="486">
        <f t="shared" si="40"/>
        <v>77338</v>
      </c>
      <c r="G139" s="486">
        <f t="shared" si="41"/>
        <v>87731.5</v>
      </c>
      <c r="H139" s="487">
        <f t="shared" si="39"/>
        <v>30902.200752128723</v>
      </c>
      <c r="I139" s="543">
        <f t="shared" si="46"/>
        <v>30902.200752128723</v>
      </c>
      <c r="J139" s="479">
        <f t="shared" si="42"/>
        <v>0</v>
      </c>
      <c r="K139" s="479"/>
      <c r="L139" s="488"/>
      <c r="M139" s="479">
        <f t="shared" si="43"/>
        <v>0</v>
      </c>
      <c r="N139" s="488"/>
      <c r="O139" s="479">
        <f t="shared" si="44"/>
        <v>0</v>
      </c>
      <c r="P139" s="479">
        <f t="shared" si="45"/>
        <v>0</v>
      </c>
    </row>
    <row r="140" spans="2:16" ht="12.5">
      <c r="B140" s="160" t="str">
        <f t="shared" si="28"/>
        <v/>
      </c>
      <c r="C140" s="473">
        <f>IF(D93="","-",+C139+1)</f>
        <v>2050</v>
      </c>
      <c r="D140" s="347">
        <f>IF(F139+SUM(E$99:E139)=D$92,F139,D$92-SUM(E$99:E139))</f>
        <v>77338</v>
      </c>
      <c r="E140" s="487">
        <f>IF(+J96&lt;F139,J96,D140)</f>
        <v>20787</v>
      </c>
      <c r="F140" s="486">
        <f t="shared" si="40"/>
        <v>56551</v>
      </c>
      <c r="G140" s="486">
        <f t="shared" si="41"/>
        <v>66944.5</v>
      </c>
      <c r="H140" s="487">
        <f t="shared" si="39"/>
        <v>28505.516801272992</v>
      </c>
      <c r="I140" s="543">
        <f t="shared" si="46"/>
        <v>28505.516801272992</v>
      </c>
      <c r="J140" s="479">
        <f t="shared" si="42"/>
        <v>0</v>
      </c>
      <c r="K140" s="479"/>
      <c r="L140" s="488"/>
      <c r="M140" s="479">
        <f t="shared" si="43"/>
        <v>0</v>
      </c>
      <c r="N140" s="488"/>
      <c r="O140" s="479">
        <f t="shared" si="44"/>
        <v>0</v>
      </c>
      <c r="P140" s="479">
        <f t="shared" si="45"/>
        <v>0</v>
      </c>
    </row>
    <row r="141" spans="2:16" ht="12.5">
      <c r="B141" s="160" t="str">
        <f t="shared" si="28"/>
        <v/>
      </c>
      <c r="C141" s="473">
        <f>IF(D93="","-",+C140+1)</f>
        <v>2051</v>
      </c>
      <c r="D141" s="347">
        <f>IF(F140+SUM(E$99:E140)=D$92,F140,D$92-SUM(E$99:E140))</f>
        <v>56551</v>
      </c>
      <c r="E141" s="487">
        <f>IF(+J96&lt;F140,J96,D141)</f>
        <v>20787</v>
      </c>
      <c r="F141" s="486">
        <f t="shared" si="40"/>
        <v>35764</v>
      </c>
      <c r="G141" s="486">
        <f t="shared" si="41"/>
        <v>46157.5</v>
      </c>
      <c r="H141" s="487">
        <f t="shared" si="39"/>
        <v>26108.832850417257</v>
      </c>
      <c r="I141" s="543">
        <f t="shared" si="46"/>
        <v>26108.832850417257</v>
      </c>
      <c r="J141" s="479">
        <f t="shared" si="42"/>
        <v>0</v>
      </c>
      <c r="K141" s="479"/>
      <c r="L141" s="488"/>
      <c r="M141" s="479">
        <f t="shared" si="43"/>
        <v>0</v>
      </c>
      <c r="N141" s="488"/>
      <c r="O141" s="479">
        <f t="shared" si="44"/>
        <v>0</v>
      </c>
      <c r="P141" s="479">
        <f t="shared" si="45"/>
        <v>0</v>
      </c>
    </row>
    <row r="142" spans="2:16" ht="12.5">
      <c r="B142" s="160" t="str">
        <f t="shared" si="28"/>
        <v/>
      </c>
      <c r="C142" s="473">
        <f>IF(D93="","-",+C141+1)</f>
        <v>2052</v>
      </c>
      <c r="D142" s="347">
        <f>IF(F141+SUM(E$99:E141)=D$92,F141,D$92-SUM(E$99:E141))</f>
        <v>35764</v>
      </c>
      <c r="E142" s="487">
        <f>IF(+J96&lt;F141,J96,D142)</f>
        <v>20787</v>
      </c>
      <c r="F142" s="486">
        <f t="shared" si="40"/>
        <v>14977</v>
      </c>
      <c r="G142" s="486">
        <f t="shared" si="41"/>
        <v>25370.5</v>
      </c>
      <c r="H142" s="487">
        <f t="shared" si="39"/>
        <v>23712.148899561522</v>
      </c>
      <c r="I142" s="543">
        <f t="shared" si="46"/>
        <v>23712.148899561522</v>
      </c>
      <c r="J142" s="479">
        <f t="shared" si="42"/>
        <v>0</v>
      </c>
      <c r="K142" s="479"/>
      <c r="L142" s="488"/>
      <c r="M142" s="479">
        <f t="shared" si="43"/>
        <v>0</v>
      </c>
      <c r="N142" s="488"/>
      <c r="O142" s="479">
        <f t="shared" si="44"/>
        <v>0</v>
      </c>
      <c r="P142" s="479">
        <f t="shared" si="45"/>
        <v>0</v>
      </c>
    </row>
    <row r="143" spans="2:16" ht="12.5">
      <c r="B143" s="160" t="str">
        <f t="shared" si="28"/>
        <v/>
      </c>
      <c r="C143" s="473">
        <f>IF(D93="","-",+C142+1)</f>
        <v>2053</v>
      </c>
      <c r="D143" s="347">
        <f>IF(F142+SUM(E$99:E142)=D$92,F142,D$92-SUM(E$99:E142))</f>
        <v>14977</v>
      </c>
      <c r="E143" s="487">
        <f>IF(+J96&lt;F142,J96,D143)</f>
        <v>14977</v>
      </c>
      <c r="F143" s="486">
        <f t="shared" si="40"/>
        <v>0</v>
      </c>
      <c r="G143" s="486">
        <f t="shared" si="41"/>
        <v>7488.5</v>
      </c>
      <c r="H143" s="487">
        <f t="shared" si="39"/>
        <v>15840.403462066828</v>
      </c>
      <c r="I143" s="543">
        <f t="shared" si="46"/>
        <v>15840.403462066828</v>
      </c>
      <c r="J143" s="479">
        <f t="shared" si="42"/>
        <v>0</v>
      </c>
      <c r="K143" s="479"/>
      <c r="L143" s="488"/>
      <c r="M143" s="479">
        <f t="shared" si="43"/>
        <v>0</v>
      </c>
      <c r="N143" s="488"/>
      <c r="O143" s="479">
        <f t="shared" si="44"/>
        <v>0</v>
      </c>
      <c r="P143" s="479">
        <f t="shared" si="45"/>
        <v>0</v>
      </c>
    </row>
    <row r="144" spans="2:16" ht="12.5">
      <c r="B144" s="160" t="str">
        <f t="shared" si="28"/>
        <v/>
      </c>
      <c r="C144" s="473">
        <f>IF(D93="","-",+C143+1)</f>
        <v>2054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40"/>
        <v>0</v>
      </c>
      <c r="G144" s="486">
        <f t="shared" si="41"/>
        <v>0</v>
      </c>
      <c r="H144" s="487">
        <f t="shared" si="39"/>
        <v>0</v>
      </c>
      <c r="I144" s="543">
        <f t="shared" si="46"/>
        <v>0</v>
      </c>
      <c r="J144" s="479">
        <f t="shared" si="42"/>
        <v>0</v>
      </c>
      <c r="K144" s="479"/>
      <c r="L144" s="488"/>
      <c r="M144" s="479">
        <f t="shared" si="43"/>
        <v>0</v>
      </c>
      <c r="N144" s="488"/>
      <c r="O144" s="479">
        <f t="shared" si="44"/>
        <v>0</v>
      </c>
      <c r="P144" s="479">
        <f t="shared" si="45"/>
        <v>0</v>
      </c>
    </row>
    <row r="145" spans="2:16" ht="12.5">
      <c r="B145" s="160" t="str">
        <f t="shared" si="28"/>
        <v/>
      </c>
      <c r="C145" s="473">
        <f>IF(D93="","-",+C144+1)</f>
        <v>2055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40"/>
        <v>0</v>
      </c>
      <c r="G145" s="486">
        <f t="shared" si="41"/>
        <v>0</v>
      </c>
      <c r="H145" s="487">
        <f t="shared" si="39"/>
        <v>0</v>
      </c>
      <c r="I145" s="543">
        <f t="shared" si="46"/>
        <v>0</v>
      </c>
      <c r="J145" s="479">
        <f t="shared" si="42"/>
        <v>0</v>
      </c>
      <c r="K145" s="479"/>
      <c r="L145" s="488"/>
      <c r="M145" s="479">
        <f t="shared" si="43"/>
        <v>0</v>
      </c>
      <c r="N145" s="488"/>
      <c r="O145" s="479">
        <f t="shared" si="44"/>
        <v>0</v>
      </c>
      <c r="P145" s="479">
        <f t="shared" si="45"/>
        <v>0</v>
      </c>
    </row>
    <row r="146" spans="2:16" ht="12.5">
      <c r="B146" s="160" t="str">
        <f t="shared" si="28"/>
        <v/>
      </c>
      <c r="C146" s="473">
        <f>IF(D93="","-",+C145+1)</f>
        <v>2056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40"/>
        <v>0</v>
      </c>
      <c r="G146" s="486">
        <f t="shared" si="41"/>
        <v>0</v>
      </c>
      <c r="H146" s="487">
        <f t="shared" si="39"/>
        <v>0</v>
      </c>
      <c r="I146" s="543">
        <f t="shared" si="46"/>
        <v>0</v>
      </c>
      <c r="J146" s="479">
        <f t="shared" si="42"/>
        <v>0</v>
      </c>
      <c r="K146" s="479"/>
      <c r="L146" s="488"/>
      <c r="M146" s="479">
        <f t="shared" si="43"/>
        <v>0</v>
      </c>
      <c r="N146" s="488"/>
      <c r="O146" s="479">
        <f t="shared" si="44"/>
        <v>0</v>
      </c>
      <c r="P146" s="479">
        <f t="shared" si="45"/>
        <v>0</v>
      </c>
    </row>
    <row r="147" spans="2:16" ht="12.5">
      <c r="B147" s="160" t="str">
        <f t="shared" si="28"/>
        <v/>
      </c>
      <c r="C147" s="473">
        <f>IF(D93="","-",+C146+1)</f>
        <v>2057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40"/>
        <v>0</v>
      </c>
      <c r="G147" s="486">
        <f t="shared" si="41"/>
        <v>0</v>
      </c>
      <c r="H147" s="487">
        <f t="shared" si="39"/>
        <v>0</v>
      </c>
      <c r="I147" s="543">
        <f t="shared" si="46"/>
        <v>0</v>
      </c>
      <c r="J147" s="479">
        <f t="shared" si="42"/>
        <v>0</v>
      </c>
      <c r="K147" s="479"/>
      <c r="L147" s="488"/>
      <c r="M147" s="479">
        <f t="shared" si="43"/>
        <v>0</v>
      </c>
      <c r="N147" s="488"/>
      <c r="O147" s="479">
        <f t="shared" si="44"/>
        <v>0</v>
      </c>
      <c r="P147" s="479">
        <f t="shared" si="45"/>
        <v>0</v>
      </c>
    </row>
    <row r="148" spans="2:16" ht="12.5">
      <c r="B148" s="160" t="str">
        <f t="shared" si="28"/>
        <v/>
      </c>
      <c r="C148" s="473">
        <f>IF(D93="","-",+C147+1)</f>
        <v>2058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40"/>
        <v>0</v>
      </c>
      <c r="G148" s="486">
        <f t="shared" si="41"/>
        <v>0</v>
      </c>
      <c r="H148" s="487">
        <f t="shared" si="39"/>
        <v>0</v>
      </c>
      <c r="I148" s="543">
        <f t="shared" si="46"/>
        <v>0</v>
      </c>
      <c r="J148" s="479">
        <f t="shared" si="42"/>
        <v>0</v>
      </c>
      <c r="K148" s="479"/>
      <c r="L148" s="488"/>
      <c r="M148" s="479">
        <f t="shared" si="43"/>
        <v>0</v>
      </c>
      <c r="N148" s="488"/>
      <c r="O148" s="479">
        <f t="shared" si="44"/>
        <v>0</v>
      </c>
      <c r="P148" s="479">
        <f t="shared" si="45"/>
        <v>0</v>
      </c>
    </row>
    <row r="149" spans="2:16" ht="12.5">
      <c r="B149" s="160" t="str">
        <f t="shared" si="28"/>
        <v/>
      </c>
      <c r="C149" s="473">
        <f>IF(D93="","-",+C148+1)</f>
        <v>2059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40"/>
        <v>0</v>
      </c>
      <c r="G149" s="486">
        <f t="shared" si="41"/>
        <v>0</v>
      </c>
      <c r="H149" s="487">
        <f t="shared" si="39"/>
        <v>0</v>
      </c>
      <c r="I149" s="543">
        <f t="shared" si="46"/>
        <v>0</v>
      </c>
      <c r="J149" s="479">
        <f t="shared" si="42"/>
        <v>0</v>
      </c>
      <c r="K149" s="479"/>
      <c r="L149" s="488"/>
      <c r="M149" s="479">
        <f t="shared" si="43"/>
        <v>0</v>
      </c>
      <c r="N149" s="488"/>
      <c r="O149" s="479">
        <f t="shared" si="44"/>
        <v>0</v>
      </c>
      <c r="P149" s="479">
        <f t="shared" si="45"/>
        <v>0</v>
      </c>
    </row>
    <row r="150" spans="2:16" ht="12.5">
      <c r="B150" s="160" t="str">
        <f t="shared" si="28"/>
        <v/>
      </c>
      <c r="C150" s="473">
        <f>IF(D93="","-",+C149+1)</f>
        <v>2060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40"/>
        <v>0</v>
      </c>
      <c r="G150" s="486">
        <f t="shared" si="41"/>
        <v>0</v>
      </c>
      <c r="H150" s="487">
        <f t="shared" si="39"/>
        <v>0</v>
      </c>
      <c r="I150" s="543">
        <f t="shared" si="46"/>
        <v>0</v>
      </c>
      <c r="J150" s="479">
        <f t="shared" si="42"/>
        <v>0</v>
      </c>
      <c r="K150" s="479"/>
      <c r="L150" s="488"/>
      <c r="M150" s="479">
        <f t="shared" si="43"/>
        <v>0</v>
      </c>
      <c r="N150" s="488"/>
      <c r="O150" s="479">
        <f t="shared" si="44"/>
        <v>0</v>
      </c>
      <c r="P150" s="479">
        <f t="shared" si="45"/>
        <v>0</v>
      </c>
    </row>
    <row r="151" spans="2:16" ht="12.5">
      <c r="B151" s="160" t="str">
        <f t="shared" si="28"/>
        <v/>
      </c>
      <c r="C151" s="473">
        <f>IF(D93="","-",+C150+1)</f>
        <v>2061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40"/>
        <v>0</v>
      </c>
      <c r="G151" s="486">
        <f t="shared" si="41"/>
        <v>0</v>
      </c>
      <c r="H151" s="487">
        <f t="shared" si="39"/>
        <v>0</v>
      </c>
      <c r="I151" s="543">
        <f t="shared" si="46"/>
        <v>0</v>
      </c>
      <c r="J151" s="479">
        <f t="shared" si="42"/>
        <v>0</v>
      </c>
      <c r="K151" s="479"/>
      <c r="L151" s="488"/>
      <c r="M151" s="479">
        <f t="shared" si="43"/>
        <v>0</v>
      </c>
      <c r="N151" s="488"/>
      <c r="O151" s="479">
        <f t="shared" si="44"/>
        <v>0</v>
      </c>
      <c r="P151" s="479">
        <f t="shared" si="45"/>
        <v>0</v>
      </c>
    </row>
    <row r="152" spans="2:16" ht="12.5">
      <c r="B152" s="160" t="str">
        <f t="shared" si="28"/>
        <v/>
      </c>
      <c r="C152" s="473">
        <f>IF(D93="","-",+C151+1)</f>
        <v>2062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40"/>
        <v>0</v>
      </c>
      <c r="G152" s="486">
        <f t="shared" si="41"/>
        <v>0</v>
      </c>
      <c r="H152" s="487">
        <f t="shared" si="39"/>
        <v>0</v>
      </c>
      <c r="I152" s="543">
        <f t="shared" si="46"/>
        <v>0</v>
      </c>
      <c r="J152" s="479">
        <f t="shared" si="42"/>
        <v>0</v>
      </c>
      <c r="K152" s="479"/>
      <c r="L152" s="488"/>
      <c r="M152" s="479">
        <f t="shared" si="43"/>
        <v>0</v>
      </c>
      <c r="N152" s="488"/>
      <c r="O152" s="479">
        <f t="shared" si="44"/>
        <v>0</v>
      </c>
      <c r="P152" s="479">
        <f t="shared" si="45"/>
        <v>0</v>
      </c>
    </row>
    <row r="153" spans="2:16" ht="12.5">
      <c r="B153" s="160" t="str">
        <f t="shared" si="28"/>
        <v/>
      </c>
      <c r="C153" s="473">
        <f>IF(D93="","-",+C152+1)</f>
        <v>2063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40"/>
        <v>0</v>
      </c>
      <c r="G153" s="486">
        <f t="shared" si="41"/>
        <v>0</v>
      </c>
      <c r="H153" s="487">
        <f t="shared" si="39"/>
        <v>0</v>
      </c>
      <c r="I153" s="543">
        <f t="shared" si="46"/>
        <v>0</v>
      </c>
      <c r="J153" s="479">
        <f t="shared" si="42"/>
        <v>0</v>
      </c>
      <c r="K153" s="479"/>
      <c r="L153" s="488"/>
      <c r="M153" s="479">
        <f t="shared" si="43"/>
        <v>0</v>
      </c>
      <c r="N153" s="488"/>
      <c r="O153" s="479">
        <f t="shared" si="44"/>
        <v>0</v>
      </c>
      <c r="P153" s="479">
        <f t="shared" si="45"/>
        <v>0</v>
      </c>
    </row>
    <row r="154" spans="2:16" ht="13" thickBot="1">
      <c r="B154" s="160" t="str">
        <f t="shared" si="28"/>
        <v/>
      </c>
      <c r="C154" s="490">
        <f>IF(D93="","-",+C153+1)</f>
        <v>2064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40"/>
        <v>0</v>
      </c>
      <c r="G154" s="491">
        <f t="shared" si="41"/>
        <v>0</v>
      </c>
      <c r="H154" s="491">
        <f t="shared" si="39"/>
        <v>0</v>
      </c>
      <c r="I154" s="546">
        <f t="shared" si="46"/>
        <v>0</v>
      </c>
      <c r="J154" s="496">
        <f t="shared" si="42"/>
        <v>0</v>
      </c>
      <c r="K154" s="479"/>
      <c r="L154" s="495"/>
      <c r="M154" s="496">
        <f t="shared" si="43"/>
        <v>0</v>
      </c>
      <c r="N154" s="495"/>
      <c r="O154" s="496">
        <f t="shared" si="44"/>
        <v>0</v>
      </c>
      <c r="P154" s="496">
        <f t="shared" si="45"/>
        <v>0</v>
      </c>
    </row>
    <row r="155" spans="2:16" ht="12.5">
      <c r="C155" s="347" t="s">
        <v>77</v>
      </c>
      <c r="D155" s="348"/>
      <c r="E155" s="348">
        <f>SUM(E99:E154)</f>
        <v>893858</v>
      </c>
      <c r="F155" s="348"/>
      <c r="G155" s="348"/>
      <c r="H155" s="348">
        <f>SUM(H99:H154)</f>
        <v>3388168.5241965712</v>
      </c>
      <c r="I155" s="348">
        <f>SUM(I99:I154)</f>
        <v>3388168.5241965712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2.5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97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49" t="s">
        <v>145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P162"/>
  <sheetViews>
    <sheetView view="pageBreakPreview" topLeftCell="B102" zoomScale="75" zoomScaleNormal="100" workbookViewId="0">
      <selection activeCell="H110" sqref="H110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2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502810.28780425031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502810.28780425031</v>
      </c>
      <c r="O6" s="233"/>
      <c r="P6" s="233"/>
    </row>
    <row r="7" spans="1:16" ht="13.5" thickBot="1">
      <c r="C7" s="432" t="s">
        <v>46</v>
      </c>
      <c r="D7" s="433" t="s">
        <v>210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80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4688896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2009</v>
      </c>
      <c r="E11" s="451" t="s">
        <v>54</v>
      </c>
      <c r="F11" s="449"/>
      <c r="G11" s="195"/>
      <c r="H11" s="195"/>
      <c r="I11" s="453"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5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109044.09302325582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C17" s="473">
        <f>IF(D11= "","-",D11)</f>
        <v>2009</v>
      </c>
      <c r="D17" s="474">
        <v>6704177</v>
      </c>
      <c r="E17" s="475">
        <v>73788</v>
      </c>
      <c r="F17" s="474">
        <v>6630389</v>
      </c>
      <c r="G17" s="475">
        <v>750999</v>
      </c>
      <c r="H17" s="475">
        <v>750999</v>
      </c>
      <c r="I17" s="476">
        <f t="shared" ref="I17:I48" si="0">H17-G17</f>
        <v>0</v>
      </c>
      <c r="J17" s="476"/>
      <c r="K17" s="477">
        <v>750999</v>
      </c>
      <c r="L17" s="478">
        <f t="shared" ref="L17:L48" si="1">IF(K17&lt;&gt;0,+G17-K17,0)</f>
        <v>0</v>
      </c>
      <c r="M17" s="477">
        <v>750999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2010</v>
      </c>
      <c r="D18" s="480">
        <v>4651603</v>
      </c>
      <c r="E18" s="481">
        <v>84382</v>
      </c>
      <c r="F18" s="480">
        <v>4567221</v>
      </c>
      <c r="G18" s="481">
        <v>743416</v>
      </c>
      <c r="H18" s="482">
        <v>743416</v>
      </c>
      <c r="I18" s="476">
        <f t="shared" si="0"/>
        <v>0</v>
      </c>
      <c r="J18" s="476"/>
      <c r="K18" s="477">
        <f t="shared" ref="K18:K23" si="4">G18</f>
        <v>743416</v>
      </c>
      <c r="L18" s="551">
        <f t="shared" si="1"/>
        <v>0</v>
      </c>
      <c r="M18" s="477">
        <f t="shared" ref="M18:M23" si="5">H18</f>
        <v>743416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2011</v>
      </c>
      <c r="D19" s="480">
        <v>4530726</v>
      </c>
      <c r="E19" s="481">
        <v>91939.137254901958</v>
      </c>
      <c r="F19" s="480">
        <v>4438786.8627450978</v>
      </c>
      <c r="G19" s="481">
        <v>786801.66702531651</v>
      </c>
      <c r="H19" s="482">
        <v>786801.66702531651</v>
      </c>
      <c r="I19" s="476">
        <f t="shared" si="0"/>
        <v>0</v>
      </c>
      <c r="J19" s="476"/>
      <c r="K19" s="477">
        <f t="shared" si="4"/>
        <v>786801.66702531651</v>
      </c>
      <c r="L19" s="551">
        <f t="shared" si="1"/>
        <v>0</v>
      </c>
      <c r="M19" s="477">
        <f t="shared" si="5"/>
        <v>786801.66702531651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/>
      </c>
      <c r="C20" s="473">
        <f>IF(D11="","-",+C19+1)</f>
        <v>2012</v>
      </c>
      <c r="D20" s="480">
        <v>4438786.8627450978</v>
      </c>
      <c r="E20" s="481">
        <v>90171.076923076922</v>
      </c>
      <c r="F20" s="480">
        <v>4348615.7858220208</v>
      </c>
      <c r="G20" s="481">
        <v>695527.67751323315</v>
      </c>
      <c r="H20" s="482">
        <v>695527.67751323315</v>
      </c>
      <c r="I20" s="476">
        <f t="shared" si="0"/>
        <v>0</v>
      </c>
      <c r="J20" s="476"/>
      <c r="K20" s="477">
        <f t="shared" si="4"/>
        <v>695527.67751323315</v>
      </c>
      <c r="L20" s="551">
        <f t="shared" si="1"/>
        <v>0</v>
      </c>
      <c r="M20" s="477">
        <f t="shared" si="5"/>
        <v>695527.67751323315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73">
        <f>IF(D12="","-",+C20+1)</f>
        <v>2013</v>
      </c>
      <c r="D21" s="480">
        <v>4348615.7858220208</v>
      </c>
      <c r="E21" s="481">
        <v>90171.076923076922</v>
      </c>
      <c r="F21" s="480">
        <v>4258444.7088989438</v>
      </c>
      <c r="G21" s="481">
        <v>698305.7699783385</v>
      </c>
      <c r="H21" s="482">
        <v>698305.7699783385</v>
      </c>
      <c r="I21" s="476">
        <v>0</v>
      </c>
      <c r="J21" s="476"/>
      <c r="K21" s="477">
        <f t="shared" si="4"/>
        <v>698305.7699783385</v>
      </c>
      <c r="L21" s="551">
        <f t="shared" ref="L21:L26" si="7">IF(K21&lt;&gt;0,+G21-K21,0)</f>
        <v>0</v>
      </c>
      <c r="M21" s="477">
        <f t="shared" si="5"/>
        <v>698305.7699783385</v>
      </c>
      <c r="N21" s="479">
        <f t="shared" ref="N21:N26" si="8">IF(M21&lt;&gt;0,+H21-M21,0)</f>
        <v>0</v>
      </c>
      <c r="O21" s="479">
        <f t="shared" ref="O21:O26" si="9">+N21-L21</f>
        <v>0</v>
      </c>
      <c r="P21" s="243"/>
    </row>
    <row r="22" spans="2:16" ht="12.5">
      <c r="B22" s="160" t="str">
        <f t="shared" si="6"/>
        <v/>
      </c>
      <c r="C22" s="473">
        <f>IF(D11="","-",+C21+1)</f>
        <v>2014</v>
      </c>
      <c r="D22" s="480">
        <v>4258444.7088989438</v>
      </c>
      <c r="E22" s="481">
        <v>90171.076923076922</v>
      </c>
      <c r="F22" s="480">
        <v>4168273.6319758669</v>
      </c>
      <c r="G22" s="481">
        <v>663970.48849892756</v>
      </c>
      <c r="H22" s="482">
        <v>663970.48849892756</v>
      </c>
      <c r="I22" s="476">
        <v>0</v>
      </c>
      <c r="J22" s="476"/>
      <c r="K22" s="477">
        <f t="shared" si="4"/>
        <v>663970.48849892756</v>
      </c>
      <c r="L22" s="551">
        <f t="shared" si="7"/>
        <v>0</v>
      </c>
      <c r="M22" s="477">
        <f t="shared" si="5"/>
        <v>663970.48849892756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/>
      </c>
      <c r="C23" s="473">
        <f>IF(D11="","-",+C22+1)</f>
        <v>2015</v>
      </c>
      <c r="D23" s="480">
        <v>4168273.6319758669</v>
      </c>
      <c r="E23" s="481">
        <v>90171.076923076922</v>
      </c>
      <c r="F23" s="480">
        <v>4078102.5550527899</v>
      </c>
      <c r="G23" s="481">
        <v>652425.83265151177</v>
      </c>
      <c r="H23" s="482">
        <v>652425.83265151177</v>
      </c>
      <c r="I23" s="476">
        <v>0</v>
      </c>
      <c r="J23" s="476"/>
      <c r="K23" s="477">
        <f t="shared" si="4"/>
        <v>652425.83265151177</v>
      </c>
      <c r="L23" s="551">
        <f t="shared" si="7"/>
        <v>0</v>
      </c>
      <c r="M23" s="477">
        <f t="shared" si="5"/>
        <v>652425.83265151177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2016</v>
      </c>
      <c r="D24" s="480">
        <v>4078102.5550527899</v>
      </c>
      <c r="E24" s="481">
        <v>90171.076923076922</v>
      </c>
      <c r="F24" s="480">
        <v>3987931.4781297129</v>
      </c>
      <c r="G24" s="481">
        <v>613226.71011811122</v>
      </c>
      <c r="H24" s="482">
        <v>613226.71011811122</v>
      </c>
      <c r="I24" s="476">
        <f t="shared" si="0"/>
        <v>0</v>
      </c>
      <c r="J24" s="476"/>
      <c r="K24" s="477">
        <f>G24</f>
        <v>613226.71011811122</v>
      </c>
      <c r="L24" s="551">
        <f t="shared" si="7"/>
        <v>0</v>
      </c>
      <c r="M24" s="477">
        <f>H24</f>
        <v>613226.71011811122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2017</v>
      </c>
      <c r="D25" s="480">
        <v>3987931.4781297129</v>
      </c>
      <c r="E25" s="481">
        <v>101932.52173913043</v>
      </c>
      <c r="F25" s="480">
        <v>3885998.9563905825</v>
      </c>
      <c r="G25" s="481">
        <v>596467.29312714399</v>
      </c>
      <c r="H25" s="482">
        <v>596467.29312714399</v>
      </c>
      <c r="I25" s="476">
        <f t="shared" si="0"/>
        <v>0</v>
      </c>
      <c r="J25" s="552"/>
      <c r="K25" s="477">
        <f>G25</f>
        <v>596467.29312714399</v>
      </c>
      <c r="L25" s="551">
        <f t="shared" si="7"/>
        <v>0</v>
      </c>
      <c r="M25" s="477">
        <f>H25</f>
        <v>596467.29312714399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2018</v>
      </c>
      <c r="D26" s="480">
        <v>3885998.9563905825</v>
      </c>
      <c r="E26" s="481">
        <v>104197.68888888889</v>
      </c>
      <c r="F26" s="480">
        <v>3781801.2675016937</v>
      </c>
      <c r="G26" s="481">
        <v>616009.3144662733</v>
      </c>
      <c r="H26" s="482">
        <v>616009.3144662733</v>
      </c>
      <c r="I26" s="476">
        <f t="shared" si="0"/>
        <v>0</v>
      </c>
      <c r="J26" s="552"/>
      <c r="K26" s="477">
        <f>G26</f>
        <v>616009.3144662733</v>
      </c>
      <c r="L26" s="551">
        <f t="shared" si="7"/>
        <v>0</v>
      </c>
      <c r="M26" s="477">
        <f>H26</f>
        <v>616009.3144662733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2019</v>
      </c>
      <c r="D27" s="480">
        <v>3781801.2675016937</v>
      </c>
      <c r="E27" s="481">
        <v>104197.68888888889</v>
      </c>
      <c r="F27" s="480">
        <v>3677603.5786128049</v>
      </c>
      <c r="G27" s="481">
        <v>601907.67750562495</v>
      </c>
      <c r="H27" s="482">
        <v>601907.67750562495</v>
      </c>
      <c r="I27" s="476">
        <f t="shared" si="0"/>
        <v>0</v>
      </c>
      <c r="J27" s="553"/>
      <c r="K27" s="477">
        <f>G27</f>
        <v>601907.67750562495</v>
      </c>
      <c r="L27" s="551">
        <f t="shared" ref="L27" si="10">IF(K27&lt;&gt;0,+G27-K27,0)</f>
        <v>0</v>
      </c>
      <c r="M27" s="477">
        <f>H27</f>
        <v>601907.67750562495</v>
      </c>
      <c r="N27" s="479">
        <f t="shared" ref="N27" si="11">IF(M27&lt;&gt;0,+H27-M27,0)</f>
        <v>0</v>
      </c>
      <c r="O27" s="479">
        <f t="shared" ref="O27" si="12">+N27-L27</f>
        <v>0</v>
      </c>
      <c r="P27" s="243"/>
    </row>
    <row r="28" spans="2:16" ht="12.5">
      <c r="B28" s="160" t="str">
        <f t="shared" si="6"/>
        <v/>
      </c>
      <c r="C28" s="473">
        <f>IF(D11="","-",+C27+1)</f>
        <v>2020</v>
      </c>
      <c r="D28" s="480">
        <v>3677603.5786128049</v>
      </c>
      <c r="E28" s="481">
        <v>111640.38095238095</v>
      </c>
      <c r="F28" s="480">
        <v>3565963.1976604238</v>
      </c>
      <c r="G28" s="481">
        <v>502810.28780425031</v>
      </c>
      <c r="H28" s="482">
        <v>502810.28780425031</v>
      </c>
      <c r="I28" s="476">
        <f t="shared" si="0"/>
        <v>0</v>
      </c>
      <c r="J28" s="476"/>
      <c r="K28" s="477">
        <f>G28</f>
        <v>502810.28780425031</v>
      </c>
      <c r="L28" s="551">
        <f t="shared" ref="L28" si="13">IF(K28&lt;&gt;0,+G28-K28,0)</f>
        <v>0</v>
      </c>
      <c r="M28" s="477">
        <f>H28</f>
        <v>502810.28780425031</v>
      </c>
      <c r="N28" s="479">
        <f t="shared" ref="N28" si="14">IF(M28&lt;&gt;0,+H28-M28,0)</f>
        <v>0</v>
      </c>
      <c r="O28" s="479">
        <f t="shared" si="3"/>
        <v>0</v>
      </c>
      <c r="P28" s="243"/>
    </row>
    <row r="29" spans="2:16" ht="12.5">
      <c r="B29" s="160" t="str">
        <f t="shared" si="6"/>
        <v/>
      </c>
      <c r="C29" s="473">
        <f>IF(D11="","-",+C28+1)</f>
        <v>2021</v>
      </c>
      <c r="D29" s="486">
        <f>IF(F28+SUM(E$17:E28)=D$10,F28,D$10-SUM(E$17:E28))</f>
        <v>3565963.1976604238</v>
      </c>
      <c r="E29" s="485">
        <f>IF(+I14&lt;F28,I14,D29)</f>
        <v>109044.09302325582</v>
      </c>
      <c r="F29" s="486">
        <f t="shared" ref="F29:F48" si="15">+D29-E29</f>
        <v>3456919.1046371679</v>
      </c>
      <c r="G29" s="487">
        <f t="shared" ref="G29:G72" si="16">(D29+F29)/2*I$12+E29</f>
        <v>513057.64334442152</v>
      </c>
      <c r="H29" s="456">
        <f t="shared" ref="H29:H72" si="17">+(D29+F29)/2*I$13+E29</f>
        <v>513057.64334442152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2022</v>
      </c>
      <c r="D30" s="486">
        <f>IF(F29+SUM(E$17:E29)=D$10,F29,D$10-SUM(E$17:E29))</f>
        <v>3456919.1046371679</v>
      </c>
      <c r="E30" s="485">
        <f>IF(+I14&lt;F29,I14,D30)</f>
        <v>109044.09302325582</v>
      </c>
      <c r="F30" s="486">
        <f t="shared" si="15"/>
        <v>3347875.0116139119</v>
      </c>
      <c r="G30" s="487">
        <f t="shared" si="16"/>
        <v>500511.429619762</v>
      </c>
      <c r="H30" s="456">
        <f t="shared" si="17"/>
        <v>500511.429619762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2023</v>
      </c>
      <c r="D31" s="486">
        <f>IF(F30+SUM(E$17:E30)=D$10,F30,D$10-SUM(E$17:E30))</f>
        <v>3347875.0116139119</v>
      </c>
      <c r="E31" s="485">
        <f>IF(+I14&lt;F30,I14,D31)</f>
        <v>109044.09302325582</v>
      </c>
      <c r="F31" s="486">
        <f t="shared" si="15"/>
        <v>3238830.918590656</v>
      </c>
      <c r="G31" s="487">
        <f t="shared" si="16"/>
        <v>487965.21589510259</v>
      </c>
      <c r="H31" s="456">
        <f t="shared" si="17"/>
        <v>487965.21589510259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2024</v>
      </c>
      <c r="D32" s="486">
        <f>IF(F31+SUM(E$17:E31)=D$10,F31,D$10-SUM(E$17:E31))</f>
        <v>3238830.918590656</v>
      </c>
      <c r="E32" s="485">
        <f>IF(+I14&lt;F31,I14,D32)</f>
        <v>109044.09302325582</v>
      </c>
      <c r="F32" s="486">
        <f t="shared" si="15"/>
        <v>3129786.8255674001</v>
      </c>
      <c r="G32" s="487">
        <f t="shared" si="16"/>
        <v>475419.00217044307</v>
      </c>
      <c r="H32" s="456">
        <f t="shared" si="17"/>
        <v>475419.00217044307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2025</v>
      </c>
      <c r="D33" s="486">
        <f>IF(F32+SUM(E$17:E32)=D$10,F32,D$10-SUM(E$17:E32))</f>
        <v>3129786.8255674001</v>
      </c>
      <c r="E33" s="485">
        <f>IF(+I14&lt;F32,I14,D33)</f>
        <v>109044.09302325582</v>
      </c>
      <c r="F33" s="486">
        <f t="shared" si="15"/>
        <v>3020742.7325441441</v>
      </c>
      <c r="G33" s="487">
        <f t="shared" si="16"/>
        <v>462872.7884457836</v>
      </c>
      <c r="H33" s="456">
        <f t="shared" si="17"/>
        <v>462872.7884457836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2026</v>
      </c>
      <c r="D34" s="486">
        <f>IF(F33+SUM(E$17:E33)=D$10,F33,D$10-SUM(E$17:E33))</f>
        <v>3020742.7325441441</v>
      </c>
      <c r="E34" s="485">
        <f>IF(+I14&lt;F33,I14,D34)</f>
        <v>109044.09302325582</v>
      </c>
      <c r="F34" s="486">
        <f t="shared" si="15"/>
        <v>2911698.6395208882</v>
      </c>
      <c r="G34" s="487">
        <f t="shared" si="16"/>
        <v>450326.57472112408</v>
      </c>
      <c r="H34" s="456">
        <f t="shared" si="17"/>
        <v>450326.57472112408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2027</v>
      </c>
      <c r="D35" s="486">
        <f>IF(F34+SUM(E$17:E34)=D$10,F34,D$10-SUM(E$17:E34))</f>
        <v>2911698.6395208882</v>
      </c>
      <c r="E35" s="485">
        <f>IF(+I14&lt;F34,I14,D35)</f>
        <v>109044.09302325582</v>
      </c>
      <c r="F35" s="486">
        <f t="shared" si="15"/>
        <v>2802654.5464976323</v>
      </c>
      <c r="G35" s="487">
        <f t="shared" si="16"/>
        <v>437780.36099646467</v>
      </c>
      <c r="H35" s="456">
        <f t="shared" si="17"/>
        <v>437780.36099646467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2028</v>
      </c>
      <c r="D36" s="486">
        <f>IF(F35+SUM(E$17:E35)=D$10,F35,D$10-SUM(E$17:E35))</f>
        <v>2802654.5464976323</v>
      </c>
      <c r="E36" s="485">
        <f>IF(+I14&lt;F35,I14,D36)</f>
        <v>109044.09302325582</v>
      </c>
      <c r="F36" s="486">
        <f t="shared" si="15"/>
        <v>2693610.4534743764</v>
      </c>
      <c r="G36" s="487">
        <f t="shared" si="16"/>
        <v>425234.14727180515</v>
      </c>
      <c r="H36" s="456">
        <f t="shared" si="17"/>
        <v>425234.14727180515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2029</v>
      </c>
      <c r="D37" s="486">
        <f>IF(F36+SUM(E$17:E36)=D$10,F36,D$10-SUM(E$17:E36))</f>
        <v>2693610.4534743764</v>
      </c>
      <c r="E37" s="485">
        <f>IF(+I14&lt;F36,I14,D37)</f>
        <v>109044.09302325582</v>
      </c>
      <c r="F37" s="486">
        <f t="shared" si="15"/>
        <v>2584566.3604511204</v>
      </c>
      <c r="G37" s="487">
        <f t="shared" si="16"/>
        <v>412687.93354714575</v>
      </c>
      <c r="H37" s="456">
        <f t="shared" si="17"/>
        <v>412687.93354714575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2030</v>
      </c>
      <c r="D38" s="486">
        <f>IF(F37+SUM(E$17:E37)=D$10,F37,D$10-SUM(E$17:E37))</f>
        <v>2584566.3604511204</v>
      </c>
      <c r="E38" s="485">
        <f>IF(+I14&lt;F37,I14,D38)</f>
        <v>109044.09302325582</v>
      </c>
      <c r="F38" s="486">
        <f t="shared" si="15"/>
        <v>2475522.2674278645</v>
      </c>
      <c r="G38" s="487">
        <f t="shared" si="16"/>
        <v>400141.71982248622</v>
      </c>
      <c r="H38" s="456">
        <f t="shared" si="17"/>
        <v>400141.71982248622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2031</v>
      </c>
      <c r="D39" s="486">
        <f>IF(F38+SUM(E$17:E38)=D$10,F38,D$10-SUM(E$17:E38))</f>
        <v>2475522.2674278645</v>
      </c>
      <c r="E39" s="485">
        <f>IF(+I14&lt;F38,I14,D39)</f>
        <v>109044.09302325582</v>
      </c>
      <c r="F39" s="486">
        <f t="shared" si="15"/>
        <v>2366478.1744046086</v>
      </c>
      <c r="G39" s="487">
        <f t="shared" si="16"/>
        <v>387595.50609782682</v>
      </c>
      <c r="H39" s="456">
        <f t="shared" si="17"/>
        <v>387595.50609782682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2032</v>
      </c>
      <c r="D40" s="486">
        <f>IF(F39+SUM(E$17:E39)=D$10,F39,D$10-SUM(E$17:E39))</f>
        <v>2366478.1744046086</v>
      </c>
      <c r="E40" s="485">
        <f>IF(+I14&lt;F39,I14,D40)</f>
        <v>109044.09302325582</v>
      </c>
      <c r="F40" s="486">
        <f t="shared" si="15"/>
        <v>2257434.0813813526</v>
      </c>
      <c r="G40" s="487">
        <f t="shared" si="16"/>
        <v>375049.29237316729</v>
      </c>
      <c r="H40" s="456">
        <f t="shared" si="17"/>
        <v>375049.29237316729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2033</v>
      </c>
      <c r="D41" s="486">
        <f>IF(F40+SUM(E$17:E40)=D$10,F40,D$10-SUM(E$17:E40))</f>
        <v>2257434.0813813526</v>
      </c>
      <c r="E41" s="485">
        <f>IF(+I14&lt;F40,I14,D41)</f>
        <v>109044.09302325582</v>
      </c>
      <c r="F41" s="486">
        <f t="shared" si="15"/>
        <v>2148389.9883580967</v>
      </c>
      <c r="G41" s="487">
        <f t="shared" si="16"/>
        <v>362503.07864850783</v>
      </c>
      <c r="H41" s="456">
        <f t="shared" si="17"/>
        <v>362503.07864850783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2034</v>
      </c>
      <c r="D42" s="486">
        <f>IF(F41+SUM(E$17:E41)=D$10,F41,D$10-SUM(E$17:E41))</f>
        <v>2148389.9883580967</v>
      </c>
      <c r="E42" s="485">
        <f>IF(+I14&lt;F41,I14,D42)</f>
        <v>109044.09302325582</v>
      </c>
      <c r="F42" s="486">
        <f t="shared" si="15"/>
        <v>2039345.8953348408</v>
      </c>
      <c r="G42" s="487">
        <f t="shared" si="16"/>
        <v>349956.8649238483</v>
      </c>
      <c r="H42" s="456">
        <f t="shared" si="17"/>
        <v>349956.8649238483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2035</v>
      </c>
      <c r="D43" s="486">
        <f>IF(F42+SUM(E$17:E42)=D$10,F42,D$10-SUM(E$17:E42))</f>
        <v>2039345.8953348408</v>
      </c>
      <c r="E43" s="485">
        <f>IF(+I14&lt;F42,I14,D43)</f>
        <v>109044.09302325582</v>
      </c>
      <c r="F43" s="486">
        <f t="shared" si="15"/>
        <v>1930301.8023115848</v>
      </c>
      <c r="G43" s="487">
        <f t="shared" si="16"/>
        <v>337410.6511991889</v>
      </c>
      <c r="H43" s="456">
        <f t="shared" si="17"/>
        <v>337410.6511991889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2036</v>
      </c>
      <c r="D44" s="486">
        <f>IF(F43+SUM(E$17:E43)=D$10,F43,D$10-SUM(E$17:E43))</f>
        <v>1930301.8023115848</v>
      </c>
      <c r="E44" s="485">
        <f>IF(+I14&lt;F43,I14,D44)</f>
        <v>109044.09302325582</v>
      </c>
      <c r="F44" s="486">
        <f t="shared" si="15"/>
        <v>1821257.7092883289</v>
      </c>
      <c r="G44" s="487">
        <f t="shared" si="16"/>
        <v>324864.43747452938</v>
      </c>
      <c r="H44" s="456">
        <f t="shared" si="17"/>
        <v>324864.43747452938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2037</v>
      </c>
      <c r="D45" s="486">
        <f>IF(F44+SUM(E$17:E44)=D$10,F44,D$10-SUM(E$17:E44))</f>
        <v>1821257.7092883289</v>
      </c>
      <c r="E45" s="485">
        <f>IF(+I14&lt;F44,I14,D45)</f>
        <v>109044.09302325582</v>
      </c>
      <c r="F45" s="486">
        <f t="shared" si="15"/>
        <v>1712213.616265073</v>
      </c>
      <c r="G45" s="487">
        <f t="shared" si="16"/>
        <v>312318.22374986997</v>
      </c>
      <c r="H45" s="456">
        <f t="shared" si="17"/>
        <v>312318.22374986997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2038</v>
      </c>
      <c r="D46" s="486">
        <f>IF(F45+SUM(E$17:E45)=D$10,F45,D$10-SUM(E$17:E45))</f>
        <v>1712213.616265073</v>
      </c>
      <c r="E46" s="485">
        <f>IF(+I14&lt;F45,I14,D46)</f>
        <v>109044.09302325582</v>
      </c>
      <c r="F46" s="486">
        <f t="shared" si="15"/>
        <v>1603169.523241817</v>
      </c>
      <c r="G46" s="487">
        <f t="shared" si="16"/>
        <v>299772.01002521045</v>
      </c>
      <c r="H46" s="456">
        <f t="shared" si="17"/>
        <v>299772.01002521045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2039</v>
      </c>
      <c r="D47" s="486">
        <f>IF(F46+SUM(E$17:E46)=D$10,F46,D$10-SUM(E$17:E46))</f>
        <v>1603169.523241817</v>
      </c>
      <c r="E47" s="485">
        <f>IF(+I14&lt;F46,I14,D47)</f>
        <v>109044.09302325582</v>
      </c>
      <c r="F47" s="486">
        <f t="shared" si="15"/>
        <v>1494125.4302185611</v>
      </c>
      <c r="G47" s="487">
        <f t="shared" si="16"/>
        <v>287225.79630055098</v>
      </c>
      <c r="H47" s="456">
        <f t="shared" si="17"/>
        <v>287225.79630055098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2040</v>
      </c>
      <c r="D48" s="486">
        <f>IF(F47+SUM(E$17:E47)=D$10,F47,D$10-SUM(E$17:E47))</f>
        <v>1494125.4302185611</v>
      </c>
      <c r="E48" s="485">
        <f>IF(+I14&lt;F47,I14,D48)</f>
        <v>109044.09302325582</v>
      </c>
      <c r="F48" s="486">
        <f t="shared" si="15"/>
        <v>1385081.3371953052</v>
      </c>
      <c r="G48" s="487">
        <f t="shared" si="16"/>
        <v>274679.58257589152</v>
      </c>
      <c r="H48" s="456">
        <f t="shared" si="17"/>
        <v>274679.58257589152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2041</v>
      </c>
      <c r="D49" s="486">
        <f>IF(F48+SUM(E$17:E48)=D$10,F48,D$10-SUM(E$17:E48))</f>
        <v>1385081.3371953052</v>
      </c>
      <c r="E49" s="485">
        <f>IF(+I14&lt;F48,I14,D49)</f>
        <v>109044.09302325582</v>
      </c>
      <c r="F49" s="486">
        <f t="shared" ref="F49:F72" si="18">+D49-E49</f>
        <v>1276037.2441720492</v>
      </c>
      <c r="G49" s="487">
        <f t="shared" si="16"/>
        <v>262133.36885123202</v>
      </c>
      <c r="H49" s="456">
        <f t="shared" si="17"/>
        <v>262133.36885123202</v>
      </c>
      <c r="I49" s="476">
        <f t="shared" ref="I49:I72" si="19">H49-G49</f>
        <v>0</v>
      </c>
      <c r="J49" s="476"/>
      <c r="K49" s="488"/>
      <c r="L49" s="479">
        <f t="shared" ref="L49:L72" si="20">IF(K49&lt;&gt;0,+G49-K49,0)</f>
        <v>0</v>
      </c>
      <c r="M49" s="488"/>
      <c r="N49" s="479">
        <f t="shared" ref="N49:N72" si="21">IF(M49&lt;&gt;0,+H49-M49,0)</f>
        <v>0</v>
      </c>
      <c r="O49" s="479">
        <f t="shared" ref="O49:O72" si="22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2042</v>
      </c>
      <c r="D50" s="486">
        <f>IF(F49+SUM(E$17:E49)=D$10,F49,D$10-SUM(E$17:E49))</f>
        <v>1276037.2441720492</v>
      </c>
      <c r="E50" s="485">
        <f>IF(+I14&lt;F49,I14,D50)</f>
        <v>109044.09302325582</v>
      </c>
      <c r="F50" s="486">
        <f t="shared" si="18"/>
        <v>1166993.1511487933</v>
      </c>
      <c r="G50" s="487">
        <f t="shared" si="16"/>
        <v>249587.15512657256</v>
      </c>
      <c r="H50" s="456">
        <f t="shared" si="17"/>
        <v>249587.15512657256</v>
      </c>
      <c r="I50" s="476">
        <f t="shared" si="19"/>
        <v>0</v>
      </c>
      <c r="J50" s="476"/>
      <c r="K50" s="488"/>
      <c r="L50" s="479">
        <f t="shared" si="20"/>
        <v>0</v>
      </c>
      <c r="M50" s="488"/>
      <c r="N50" s="479">
        <f t="shared" si="21"/>
        <v>0</v>
      </c>
      <c r="O50" s="479">
        <f t="shared" si="22"/>
        <v>0</v>
      </c>
      <c r="P50" s="243"/>
    </row>
    <row r="51" spans="2:16" ht="12.5">
      <c r="B51" s="160" t="str">
        <f t="shared" si="6"/>
        <v/>
      </c>
      <c r="C51" s="473">
        <f>IF(D11="","-",+C50+1)</f>
        <v>2043</v>
      </c>
      <c r="D51" s="486">
        <f>IF(F50+SUM(E$17:E50)=D$10,F50,D$10-SUM(E$17:E50))</f>
        <v>1166993.1511487933</v>
      </c>
      <c r="E51" s="485">
        <f>IF(+I14&lt;F50,I14,D51)</f>
        <v>109044.09302325582</v>
      </c>
      <c r="F51" s="486">
        <f t="shared" si="18"/>
        <v>1057949.0581255374</v>
      </c>
      <c r="G51" s="487">
        <f t="shared" si="16"/>
        <v>237040.94140191309</v>
      </c>
      <c r="H51" s="456">
        <f t="shared" si="17"/>
        <v>237040.94140191309</v>
      </c>
      <c r="I51" s="476">
        <f t="shared" si="19"/>
        <v>0</v>
      </c>
      <c r="J51" s="476"/>
      <c r="K51" s="488"/>
      <c r="L51" s="479">
        <f t="shared" si="20"/>
        <v>0</v>
      </c>
      <c r="M51" s="488"/>
      <c r="N51" s="479">
        <f t="shared" si="21"/>
        <v>0</v>
      </c>
      <c r="O51" s="479">
        <f t="shared" si="22"/>
        <v>0</v>
      </c>
      <c r="P51" s="243"/>
    </row>
    <row r="52" spans="2:16" ht="12.5">
      <c r="B52" s="160" t="str">
        <f t="shared" si="6"/>
        <v/>
      </c>
      <c r="C52" s="473">
        <f>IF(D11="","-",+C51+1)</f>
        <v>2044</v>
      </c>
      <c r="D52" s="486">
        <f>IF(F51+SUM(E$17:E51)=D$10,F51,D$10-SUM(E$17:E51))</f>
        <v>1057949.0581255374</v>
      </c>
      <c r="E52" s="485">
        <f>IF(+I14&lt;F51,I14,D52)</f>
        <v>109044.09302325582</v>
      </c>
      <c r="F52" s="486">
        <f t="shared" si="18"/>
        <v>948904.96510228154</v>
      </c>
      <c r="G52" s="487">
        <f t="shared" si="16"/>
        <v>224494.7276772536</v>
      </c>
      <c r="H52" s="456">
        <f t="shared" si="17"/>
        <v>224494.7276772536</v>
      </c>
      <c r="I52" s="476">
        <f t="shared" si="19"/>
        <v>0</v>
      </c>
      <c r="J52" s="476"/>
      <c r="K52" s="488"/>
      <c r="L52" s="479">
        <f t="shared" si="20"/>
        <v>0</v>
      </c>
      <c r="M52" s="488"/>
      <c r="N52" s="479">
        <f t="shared" si="21"/>
        <v>0</v>
      </c>
      <c r="O52" s="479">
        <f t="shared" si="22"/>
        <v>0</v>
      </c>
      <c r="P52" s="243"/>
    </row>
    <row r="53" spans="2:16" ht="12.5">
      <c r="B53" s="160" t="str">
        <f t="shared" si="6"/>
        <v/>
      </c>
      <c r="C53" s="473">
        <f>IF(D11="","-",+C52+1)</f>
        <v>2045</v>
      </c>
      <c r="D53" s="486">
        <f>IF(F52+SUM(E$17:E52)=D$10,F52,D$10-SUM(E$17:E52))</f>
        <v>948904.96510228154</v>
      </c>
      <c r="E53" s="485">
        <f>IF(+I14&lt;F52,I14,D53)</f>
        <v>109044.09302325582</v>
      </c>
      <c r="F53" s="486">
        <f t="shared" si="18"/>
        <v>839860.87207902572</v>
      </c>
      <c r="G53" s="487">
        <f t="shared" si="16"/>
        <v>211948.51395259416</v>
      </c>
      <c r="H53" s="456">
        <f t="shared" si="17"/>
        <v>211948.51395259416</v>
      </c>
      <c r="I53" s="476">
        <f t="shared" si="19"/>
        <v>0</v>
      </c>
      <c r="J53" s="476"/>
      <c r="K53" s="488"/>
      <c r="L53" s="479">
        <f t="shared" si="20"/>
        <v>0</v>
      </c>
      <c r="M53" s="488"/>
      <c r="N53" s="479">
        <f t="shared" si="21"/>
        <v>0</v>
      </c>
      <c r="O53" s="479">
        <f t="shared" si="22"/>
        <v>0</v>
      </c>
      <c r="P53" s="243"/>
    </row>
    <row r="54" spans="2:16" ht="12.5">
      <c r="B54" s="160" t="str">
        <f t="shared" si="6"/>
        <v/>
      </c>
      <c r="C54" s="473">
        <f>IF(D11="","-",+C53+1)</f>
        <v>2046</v>
      </c>
      <c r="D54" s="486">
        <f>IF(F53+SUM(E$17:E53)=D$10,F53,D$10-SUM(E$17:E53))</f>
        <v>839860.87207902572</v>
      </c>
      <c r="E54" s="485">
        <f>IF(+I14&lt;F53,I14,D54)</f>
        <v>109044.09302325582</v>
      </c>
      <c r="F54" s="486">
        <f t="shared" si="18"/>
        <v>730816.7790557699</v>
      </c>
      <c r="G54" s="487">
        <f t="shared" si="16"/>
        <v>199402.3002279347</v>
      </c>
      <c r="H54" s="456">
        <f t="shared" si="17"/>
        <v>199402.3002279347</v>
      </c>
      <c r="I54" s="476">
        <f t="shared" si="19"/>
        <v>0</v>
      </c>
      <c r="J54" s="476"/>
      <c r="K54" s="488"/>
      <c r="L54" s="479">
        <f t="shared" si="20"/>
        <v>0</v>
      </c>
      <c r="M54" s="488"/>
      <c r="N54" s="479">
        <f t="shared" si="21"/>
        <v>0</v>
      </c>
      <c r="O54" s="479">
        <f t="shared" si="22"/>
        <v>0</v>
      </c>
      <c r="P54" s="243"/>
    </row>
    <row r="55" spans="2:16" ht="12.5">
      <c r="B55" s="160" t="str">
        <f t="shared" si="6"/>
        <v/>
      </c>
      <c r="C55" s="473">
        <f>IF(D11="","-",+C54+1)</f>
        <v>2047</v>
      </c>
      <c r="D55" s="486">
        <f>IF(F54+SUM(E$17:E54)=D$10,F54,D$10-SUM(E$17:E54))</f>
        <v>730816.7790557699</v>
      </c>
      <c r="E55" s="485">
        <f>IF(+I14&lt;F54,I14,D55)</f>
        <v>109044.09302325582</v>
      </c>
      <c r="F55" s="486">
        <f t="shared" si="18"/>
        <v>621772.68603251409</v>
      </c>
      <c r="G55" s="487">
        <f t="shared" si="16"/>
        <v>186856.08650327526</v>
      </c>
      <c r="H55" s="456">
        <f t="shared" si="17"/>
        <v>186856.08650327526</v>
      </c>
      <c r="I55" s="476">
        <f t="shared" si="19"/>
        <v>0</v>
      </c>
      <c r="J55" s="476"/>
      <c r="K55" s="488"/>
      <c r="L55" s="479">
        <f t="shared" si="20"/>
        <v>0</v>
      </c>
      <c r="M55" s="488"/>
      <c r="N55" s="479">
        <f t="shared" si="21"/>
        <v>0</v>
      </c>
      <c r="O55" s="479">
        <f t="shared" si="22"/>
        <v>0</v>
      </c>
      <c r="P55" s="243"/>
    </row>
    <row r="56" spans="2:16" ht="12.5">
      <c r="B56" s="160" t="str">
        <f t="shared" si="6"/>
        <v/>
      </c>
      <c r="C56" s="473">
        <f>IF(D11="","-",+C55+1)</f>
        <v>2048</v>
      </c>
      <c r="D56" s="486">
        <f>IF(F55+SUM(E$17:E55)=D$10,F55,D$10-SUM(E$17:E55))</f>
        <v>621772.68603251409</v>
      </c>
      <c r="E56" s="485">
        <f>IF(+I14&lt;F55,I14,D56)</f>
        <v>109044.09302325582</v>
      </c>
      <c r="F56" s="486">
        <f t="shared" si="18"/>
        <v>512728.59300925827</v>
      </c>
      <c r="G56" s="487">
        <f t="shared" si="16"/>
        <v>174309.87277861577</v>
      </c>
      <c r="H56" s="456">
        <f t="shared" si="17"/>
        <v>174309.87277861577</v>
      </c>
      <c r="I56" s="476">
        <f t="shared" si="19"/>
        <v>0</v>
      </c>
      <c r="J56" s="476"/>
      <c r="K56" s="488"/>
      <c r="L56" s="479">
        <f t="shared" si="20"/>
        <v>0</v>
      </c>
      <c r="M56" s="488"/>
      <c r="N56" s="479">
        <f t="shared" si="21"/>
        <v>0</v>
      </c>
      <c r="O56" s="479">
        <f t="shared" si="22"/>
        <v>0</v>
      </c>
      <c r="P56" s="243"/>
    </row>
    <row r="57" spans="2:16" ht="12.5">
      <c r="B57" s="160" t="str">
        <f t="shared" si="6"/>
        <v/>
      </c>
      <c r="C57" s="473">
        <f>IF(D11="","-",+C56+1)</f>
        <v>2049</v>
      </c>
      <c r="D57" s="486">
        <f>IF(F56+SUM(E$17:E56)=D$10,F56,D$10-SUM(E$17:E56))</f>
        <v>512728.59300925827</v>
      </c>
      <c r="E57" s="485">
        <f>IF(+I14&lt;F56,I14,D57)</f>
        <v>109044.09302325582</v>
      </c>
      <c r="F57" s="486">
        <f t="shared" si="18"/>
        <v>403684.49998600245</v>
      </c>
      <c r="G57" s="487">
        <f t="shared" si="16"/>
        <v>161763.65905395633</v>
      </c>
      <c r="H57" s="456">
        <f t="shared" si="17"/>
        <v>161763.65905395633</v>
      </c>
      <c r="I57" s="476">
        <f t="shared" si="19"/>
        <v>0</v>
      </c>
      <c r="J57" s="476"/>
      <c r="K57" s="488"/>
      <c r="L57" s="479">
        <f t="shared" si="20"/>
        <v>0</v>
      </c>
      <c r="M57" s="488"/>
      <c r="N57" s="479">
        <f t="shared" si="21"/>
        <v>0</v>
      </c>
      <c r="O57" s="479">
        <f t="shared" si="22"/>
        <v>0</v>
      </c>
      <c r="P57" s="243"/>
    </row>
    <row r="58" spans="2:16" ht="12.5">
      <c r="B58" s="160" t="str">
        <f t="shared" si="6"/>
        <v/>
      </c>
      <c r="C58" s="473">
        <f>IF(D11="","-",+C57+1)</f>
        <v>2050</v>
      </c>
      <c r="D58" s="486">
        <f>IF(F57+SUM(E$17:E57)=D$10,F57,D$10-SUM(E$17:E57))</f>
        <v>403684.49998600245</v>
      </c>
      <c r="E58" s="485">
        <f>IF(+I14&lt;F57,I14,D58)</f>
        <v>109044.09302325582</v>
      </c>
      <c r="F58" s="486">
        <f t="shared" si="18"/>
        <v>294640.40696274664</v>
      </c>
      <c r="G58" s="487">
        <f t="shared" si="16"/>
        <v>149217.44532929687</v>
      </c>
      <c r="H58" s="456">
        <f t="shared" si="17"/>
        <v>149217.44532929687</v>
      </c>
      <c r="I58" s="476">
        <f t="shared" si="19"/>
        <v>0</v>
      </c>
      <c r="J58" s="476"/>
      <c r="K58" s="488"/>
      <c r="L58" s="479">
        <f t="shared" si="20"/>
        <v>0</v>
      </c>
      <c r="M58" s="488"/>
      <c r="N58" s="479">
        <f t="shared" si="21"/>
        <v>0</v>
      </c>
      <c r="O58" s="479">
        <f t="shared" si="22"/>
        <v>0</v>
      </c>
      <c r="P58" s="243"/>
    </row>
    <row r="59" spans="2:16" ht="12.5">
      <c r="B59" s="160" t="str">
        <f t="shared" si="6"/>
        <v/>
      </c>
      <c r="C59" s="473">
        <f>IF(D11="","-",+C58+1)</f>
        <v>2051</v>
      </c>
      <c r="D59" s="486">
        <f>IF(F58+SUM(E$17:E58)=D$10,F58,D$10-SUM(E$17:E58))</f>
        <v>294640.40696274664</v>
      </c>
      <c r="E59" s="485">
        <f>IF(+I14&lt;F58,I14,D59)</f>
        <v>109044.09302325582</v>
      </c>
      <c r="F59" s="486">
        <f t="shared" si="18"/>
        <v>185596.31393949082</v>
      </c>
      <c r="G59" s="487">
        <f t="shared" si="16"/>
        <v>136671.2316046374</v>
      </c>
      <c r="H59" s="456">
        <f t="shared" si="17"/>
        <v>136671.2316046374</v>
      </c>
      <c r="I59" s="476">
        <f t="shared" si="19"/>
        <v>0</v>
      </c>
      <c r="J59" s="476"/>
      <c r="K59" s="488"/>
      <c r="L59" s="479">
        <f t="shared" si="20"/>
        <v>0</v>
      </c>
      <c r="M59" s="488"/>
      <c r="N59" s="479">
        <f t="shared" si="21"/>
        <v>0</v>
      </c>
      <c r="O59" s="479">
        <f t="shared" si="22"/>
        <v>0</v>
      </c>
      <c r="P59" s="243"/>
    </row>
    <row r="60" spans="2:16" ht="12.5">
      <c r="B60" s="160" t="str">
        <f t="shared" si="6"/>
        <v/>
      </c>
      <c r="C60" s="473">
        <f>IF(D11="","-",+C59+1)</f>
        <v>2052</v>
      </c>
      <c r="D60" s="486">
        <f>IF(F59+SUM(E$17:E59)=D$10,F59,D$10-SUM(E$17:E59))</f>
        <v>185596.31393949082</v>
      </c>
      <c r="E60" s="485">
        <f>IF(+I14&lt;F59,I14,D60)</f>
        <v>109044.09302325582</v>
      </c>
      <c r="F60" s="486">
        <f t="shared" si="18"/>
        <v>76552.220916235005</v>
      </c>
      <c r="G60" s="487">
        <f t="shared" si="16"/>
        <v>124125.01787997794</v>
      </c>
      <c r="H60" s="456">
        <f t="shared" si="17"/>
        <v>124125.01787997794</v>
      </c>
      <c r="I60" s="476">
        <f t="shared" si="19"/>
        <v>0</v>
      </c>
      <c r="J60" s="476"/>
      <c r="K60" s="488"/>
      <c r="L60" s="479">
        <f t="shared" si="20"/>
        <v>0</v>
      </c>
      <c r="M60" s="488"/>
      <c r="N60" s="479">
        <f t="shared" si="21"/>
        <v>0</v>
      </c>
      <c r="O60" s="479">
        <f t="shared" si="22"/>
        <v>0</v>
      </c>
      <c r="P60" s="243"/>
    </row>
    <row r="61" spans="2:16" ht="12.5">
      <c r="B61" s="160" t="str">
        <f t="shared" si="6"/>
        <v/>
      </c>
      <c r="C61" s="473">
        <f>IF(D11="","-",+C60+1)</f>
        <v>2053</v>
      </c>
      <c r="D61" s="486">
        <f>IF(F60+SUM(E$17:E60)=D$10,F60,D$10-SUM(E$17:E60))</f>
        <v>76552.220916235005</v>
      </c>
      <c r="E61" s="485">
        <f>IF(+I14&lt;F60,I14,D61)</f>
        <v>76552.220916235005</v>
      </c>
      <c r="F61" s="486">
        <f t="shared" si="18"/>
        <v>0</v>
      </c>
      <c r="G61" s="487">
        <f t="shared" si="16"/>
        <v>80956.129913431199</v>
      </c>
      <c r="H61" s="456">
        <f t="shared" si="17"/>
        <v>80956.129913431199</v>
      </c>
      <c r="I61" s="476">
        <f t="shared" si="19"/>
        <v>0</v>
      </c>
      <c r="J61" s="476"/>
      <c r="K61" s="488"/>
      <c r="L61" s="479">
        <f t="shared" si="20"/>
        <v>0</v>
      </c>
      <c r="M61" s="488"/>
      <c r="N61" s="479">
        <f t="shared" si="21"/>
        <v>0</v>
      </c>
      <c r="O61" s="479">
        <f t="shared" si="22"/>
        <v>0</v>
      </c>
      <c r="P61" s="243"/>
    </row>
    <row r="62" spans="2:16" ht="12.5">
      <c r="B62" s="160" t="str">
        <f t="shared" si="6"/>
        <v/>
      </c>
      <c r="C62" s="473">
        <f>IF(D11="","-",+C61+1)</f>
        <v>2054</v>
      </c>
      <c r="D62" s="486">
        <f>IF(F61+SUM(E$17:E61)=D$10,F61,D$10-SUM(E$17:E61))</f>
        <v>0</v>
      </c>
      <c r="E62" s="485">
        <f>IF(+I14&lt;F61,I14,D62)</f>
        <v>0</v>
      </c>
      <c r="F62" s="486">
        <f t="shared" si="18"/>
        <v>0</v>
      </c>
      <c r="G62" s="487">
        <f t="shared" si="16"/>
        <v>0</v>
      </c>
      <c r="H62" s="456">
        <f t="shared" si="17"/>
        <v>0</v>
      </c>
      <c r="I62" s="476">
        <f t="shared" si="19"/>
        <v>0</v>
      </c>
      <c r="J62" s="476"/>
      <c r="K62" s="488"/>
      <c r="L62" s="479">
        <f t="shared" si="20"/>
        <v>0</v>
      </c>
      <c r="M62" s="488"/>
      <c r="N62" s="479">
        <f t="shared" si="21"/>
        <v>0</v>
      </c>
      <c r="O62" s="479">
        <f t="shared" si="22"/>
        <v>0</v>
      </c>
      <c r="P62" s="243"/>
    </row>
    <row r="63" spans="2:16" ht="12.5">
      <c r="B63" s="160" t="str">
        <f t="shared" si="6"/>
        <v/>
      </c>
      <c r="C63" s="473">
        <f>IF(D11="","-",+C62+1)</f>
        <v>2055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8"/>
        <v>0</v>
      </c>
      <c r="G63" s="487">
        <f t="shared" si="16"/>
        <v>0</v>
      </c>
      <c r="H63" s="456">
        <f t="shared" si="17"/>
        <v>0</v>
      </c>
      <c r="I63" s="476">
        <f t="shared" si="19"/>
        <v>0</v>
      </c>
      <c r="J63" s="476"/>
      <c r="K63" s="488"/>
      <c r="L63" s="479">
        <f t="shared" si="20"/>
        <v>0</v>
      </c>
      <c r="M63" s="488"/>
      <c r="N63" s="479">
        <f t="shared" si="21"/>
        <v>0</v>
      </c>
      <c r="O63" s="479">
        <f t="shared" si="22"/>
        <v>0</v>
      </c>
      <c r="P63" s="243"/>
    </row>
    <row r="64" spans="2:16" ht="12.5">
      <c r="B64" s="160" t="str">
        <f t="shared" si="6"/>
        <v/>
      </c>
      <c r="C64" s="473">
        <f>IF(D11="","-",+C63+1)</f>
        <v>2056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8"/>
        <v>0</v>
      </c>
      <c r="G64" s="487">
        <f t="shared" si="16"/>
        <v>0</v>
      </c>
      <c r="H64" s="456">
        <f t="shared" si="17"/>
        <v>0</v>
      </c>
      <c r="I64" s="476">
        <f t="shared" si="19"/>
        <v>0</v>
      </c>
      <c r="J64" s="476"/>
      <c r="K64" s="488"/>
      <c r="L64" s="479">
        <f t="shared" si="20"/>
        <v>0</v>
      </c>
      <c r="M64" s="488"/>
      <c r="N64" s="479">
        <f t="shared" si="21"/>
        <v>0</v>
      </c>
      <c r="O64" s="479">
        <f t="shared" si="22"/>
        <v>0</v>
      </c>
      <c r="P64" s="243"/>
    </row>
    <row r="65" spans="2:16" ht="12.5">
      <c r="B65" s="160" t="str">
        <f t="shared" si="6"/>
        <v/>
      </c>
      <c r="C65" s="473">
        <f>IF(D11="","-",+C64+1)</f>
        <v>2057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8"/>
        <v>0</v>
      </c>
      <c r="G65" s="487">
        <f t="shared" si="16"/>
        <v>0</v>
      </c>
      <c r="H65" s="456">
        <f t="shared" si="17"/>
        <v>0</v>
      </c>
      <c r="I65" s="476">
        <f t="shared" si="19"/>
        <v>0</v>
      </c>
      <c r="J65" s="476"/>
      <c r="K65" s="488"/>
      <c r="L65" s="479">
        <f t="shared" si="20"/>
        <v>0</v>
      </c>
      <c r="M65" s="488"/>
      <c r="N65" s="479">
        <f t="shared" si="21"/>
        <v>0</v>
      </c>
      <c r="O65" s="479">
        <f t="shared" si="22"/>
        <v>0</v>
      </c>
      <c r="P65" s="243"/>
    </row>
    <row r="66" spans="2:16" ht="12.5">
      <c r="B66" s="160" t="str">
        <f t="shared" si="6"/>
        <v/>
      </c>
      <c r="C66" s="473">
        <f>IF(D11="","-",+C65+1)</f>
        <v>2058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8"/>
        <v>0</v>
      </c>
      <c r="G66" s="487">
        <f t="shared" si="16"/>
        <v>0</v>
      </c>
      <c r="H66" s="456">
        <f t="shared" si="17"/>
        <v>0</v>
      </c>
      <c r="I66" s="476">
        <f t="shared" si="19"/>
        <v>0</v>
      </c>
      <c r="J66" s="476"/>
      <c r="K66" s="488"/>
      <c r="L66" s="479">
        <f t="shared" si="20"/>
        <v>0</v>
      </c>
      <c r="M66" s="488"/>
      <c r="N66" s="479">
        <f t="shared" si="21"/>
        <v>0</v>
      </c>
      <c r="O66" s="479">
        <f t="shared" si="22"/>
        <v>0</v>
      </c>
      <c r="P66" s="243"/>
    </row>
    <row r="67" spans="2:16" ht="12.5">
      <c r="B67" s="160" t="str">
        <f t="shared" si="6"/>
        <v/>
      </c>
      <c r="C67" s="473">
        <f>IF(D11="","-",+C66+1)</f>
        <v>2059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8"/>
        <v>0</v>
      </c>
      <c r="G67" s="487">
        <f t="shared" si="16"/>
        <v>0</v>
      </c>
      <c r="H67" s="456">
        <f t="shared" si="17"/>
        <v>0</v>
      </c>
      <c r="I67" s="476">
        <f t="shared" si="19"/>
        <v>0</v>
      </c>
      <c r="J67" s="476"/>
      <c r="K67" s="488"/>
      <c r="L67" s="479">
        <f t="shared" si="20"/>
        <v>0</v>
      </c>
      <c r="M67" s="488"/>
      <c r="N67" s="479">
        <f t="shared" si="21"/>
        <v>0</v>
      </c>
      <c r="O67" s="479">
        <f t="shared" si="22"/>
        <v>0</v>
      </c>
      <c r="P67" s="243"/>
    </row>
    <row r="68" spans="2:16" ht="12.5">
      <c r="B68" s="160" t="str">
        <f t="shared" si="6"/>
        <v/>
      </c>
      <c r="C68" s="473">
        <f>IF(D11="","-",+C67+1)</f>
        <v>2060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8"/>
        <v>0</v>
      </c>
      <c r="G68" s="487">
        <f t="shared" si="16"/>
        <v>0</v>
      </c>
      <c r="H68" s="456">
        <f t="shared" si="17"/>
        <v>0</v>
      </c>
      <c r="I68" s="476">
        <f t="shared" si="19"/>
        <v>0</v>
      </c>
      <c r="J68" s="476"/>
      <c r="K68" s="488"/>
      <c r="L68" s="479">
        <f t="shared" si="20"/>
        <v>0</v>
      </c>
      <c r="M68" s="488"/>
      <c r="N68" s="479">
        <f t="shared" si="21"/>
        <v>0</v>
      </c>
      <c r="O68" s="479">
        <f t="shared" si="22"/>
        <v>0</v>
      </c>
      <c r="P68" s="243"/>
    </row>
    <row r="69" spans="2:16" ht="12.5">
      <c r="B69" s="160" t="str">
        <f t="shared" si="6"/>
        <v/>
      </c>
      <c r="C69" s="473">
        <f>IF(D11="","-",+C68+1)</f>
        <v>2061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8"/>
        <v>0</v>
      </c>
      <c r="G69" s="487">
        <f t="shared" si="16"/>
        <v>0</v>
      </c>
      <c r="H69" s="456">
        <f t="shared" si="17"/>
        <v>0</v>
      </c>
      <c r="I69" s="476">
        <f t="shared" si="19"/>
        <v>0</v>
      </c>
      <c r="J69" s="476"/>
      <c r="K69" s="488"/>
      <c r="L69" s="479">
        <f t="shared" si="20"/>
        <v>0</v>
      </c>
      <c r="M69" s="488"/>
      <c r="N69" s="479">
        <f t="shared" si="21"/>
        <v>0</v>
      </c>
      <c r="O69" s="479">
        <f t="shared" si="22"/>
        <v>0</v>
      </c>
      <c r="P69" s="243"/>
    </row>
    <row r="70" spans="2:16" ht="12.5">
      <c r="B70" s="160" t="str">
        <f t="shared" si="6"/>
        <v/>
      </c>
      <c r="C70" s="473">
        <f>IF(D11="","-",+C69+1)</f>
        <v>2062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8"/>
        <v>0</v>
      </c>
      <c r="G70" s="487">
        <f t="shared" si="16"/>
        <v>0</v>
      </c>
      <c r="H70" s="456">
        <f t="shared" si="17"/>
        <v>0</v>
      </c>
      <c r="I70" s="476">
        <f t="shared" si="19"/>
        <v>0</v>
      </c>
      <c r="J70" s="476"/>
      <c r="K70" s="488"/>
      <c r="L70" s="479">
        <f t="shared" si="20"/>
        <v>0</v>
      </c>
      <c r="M70" s="488"/>
      <c r="N70" s="479">
        <f t="shared" si="21"/>
        <v>0</v>
      </c>
      <c r="O70" s="479">
        <f t="shared" si="22"/>
        <v>0</v>
      </c>
      <c r="P70" s="243"/>
    </row>
    <row r="71" spans="2:16" ht="12.5">
      <c r="B71" s="160" t="str">
        <f t="shared" si="6"/>
        <v/>
      </c>
      <c r="C71" s="473">
        <f>IF(D11="","-",+C70+1)</f>
        <v>2063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8"/>
        <v>0</v>
      </c>
      <c r="G71" s="487">
        <f t="shared" si="16"/>
        <v>0</v>
      </c>
      <c r="H71" s="456">
        <f t="shared" si="17"/>
        <v>0</v>
      </c>
      <c r="I71" s="476">
        <f t="shared" si="19"/>
        <v>0</v>
      </c>
      <c r="J71" s="476"/>
      <c r="K71" s="488"/>
      <c r="L71" s="479">
        <f t="shared" si="20"/>
        <v>0</v>
      </c>
      <c r="M71" s="488"/>
      <c r="N71" s="479">
        <f t="shared" si="21"/>
        <v>0</v>
      </c>
      <c r="O71" s="479">
        <f t="shared" si="22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2064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8"/>
        <v>0</v>
      </c>
      <c r="G72" s="491">
        <f t="shared" si="16"/>
        <v>0</v>
      </c>
      <c r="H72" s="491">
        <f t="shared" si="17"/>
        <v>0</v>
      </c>
      <c r="I72" s="494">
        <f t="shared" si="19"/>
        <v>0</v>
      </c>
      <c r="J72" s="476"/>
      <c r="K72" s="495"/>
      <c r="L72" s="496">
        <f t="shared" si="20"/>
        <v>0</v>
      </c>
      <c r="M72" s="495"/>
      <c r="N72" s="496">
        <f t="shared" si="21"/>
        <v>0</v>
      </c>
      <c r="O72" s="496">
        <f t="shared" si="22"/>
        <v>0</v>
      </c>
      <c r="P72" s="243"/>
    </row>
    <row r="73" spans="2:16" ht="12.5">
      <c r="C73" s="347" t="s">
        <v>77</v>
      </c>
      <c r="D73" s="348"/>
      <c r="E73" s="348">
        <f>SUM(E17:E72)</f>
        <v>4688895.9999999991</v>
      </c>
      <c r="F73" s="348"/>
      <c r="G73" s="348">
        <f>SUM(G17:G72)</f>
        <v>18197746.428192552</v>
      </c>
      <c r="H73" s="348">
        <f>SUM(H17:H72)</f>
        <v>18197746.428192552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2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502810.28780425031</v>
      </c>
      <c r="N87" s="509">
        <f>IF(J92&lt;D11,0,VLOOKUP(J92,C17:O72,11))</f>
        <v>502810.28780425031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525853.2624876654</v>
      </c>
      <c r="N88" s="513">
        <f>IF(J92&lt;D11,0,VLOOKUP(J92,C99:P154,7))</f>
        <v>525853.2624876654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Craig Jct. to Broken Bow Dam 138 Rebuild (7.7mi)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23042.974683415086</v>
      </c>
      <c r="N89" s="518">
        <f>+N88-N87</f>
        <v>23042.974683415086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TP2007059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4688896.139999995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5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109044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2009</v>
      </c>
      <c r="D99" s="474">
        <v>0</v>
      </c>
      <c r="E99" s="481">
        <v>49223</v>
      </c>
      <c r="F99" s="480">
        <v>4676168</v>
      </c>
      <c r="G99" s="538">
        <v>2338084</v>
      </c>
      <c r="H99" s="539">
        <v>391070</v>
      </c>
      <c r="I99" s="540">
        <v>391070</v>
      </c>
      <c r="J99" s="479">
        <f t="shared" ref="J99:J130" si="23">+I99-H99</f>
        <v>0</v>
      </c>
      <c r="K99" s="479"/>
      <c r="L99" s="477">
        <f t="shared" ref="L99:L104" si="24">H99</f>
        <v>391070</v>
      </c>
      <c r="M99" s="478">
        <f t="shared" ref="M99:M130" si="25">IF(L99&lt;&gt;0,+H99-L99,0)</f>
        <v>0</v>
      </c>
      <c r="N99" s="477">
        <f t="shared" ref="N99:N104" si="26">I99</f>
        <v>391070</v>
      </c>
      <c r="O99" s="478">
        <f t="shared" ref="O99:O130" si="27">IF(N99&lt;&gt;0,+I99-N99,0)</f>
        <v>0</v>
      </c>
      <c r="P99" s="478">
        <f t="shared" ref="P99:P130" si="28">+O99-M99</f>
        <v>0</v>
      </c>
    </row>
    <row r="100" spans="1:16" ht="12.5">
      <c r="B100" s="160" t="str">
        <f>IF(D100=F99,"","IU")</f>
        <v>IU</v>
      </c>
      <c r="C100" s="473">
        <f>IF(D93="","-",+C99+1)</f>
        <v>2010</v>
      </c>
      <c r="D100" s="474">
        <v>4639673.1399999997</v>
      </c>
      <c r="E100" s="481">
        <v>91939</v>
      </c>
      <c r="F100" s="480">
        <v>4547734.1399999997</v>
      </c>
      <c r="G100" s="480">
        <v>4593703.6399999997</v>
      </c>
      <c r="H100" s="481">
        <v>830676.46951907186</v>
      </c>
      <c r="I100" s="482">
        <v>830676.46951907186</v>
      </c>
      <c r="J100" s="479">
        <f t="shared" si="23"/>
        <v>0</v>
      </c>
      <c r="K100" s="479"/>
      <c r="L100" s="541">
        <f t="shared" si="24"/>
        <v>830676.46951907186</v>
      </c>
      <c r="M100" s="542">
        <f t="shared" si="25"/>
        <v>0</v>
      </c>
      <c r="N100" s="541">
        <f t="shared" si="26"/>
        <v>830676.46951907186</v>
      </c>
      <c r="O100" s="479">
        <f t="shared" si="27"/>
        <v>0</v>
      </c>
      <c r="P100" s="479">
        <f t="shared" si="28"/>
        <v>0</v>
      </c>
    </row>
    <row r="101" spans="1:16" ht="12.5">
      <c r="B101" s="160" t="str">
        <f t="shared" ref="B101:B154" si="29">IF(D101=F100,"","IU")</f>
        <v/>
      </c>
      <c r="C101" s="483">
        <f>IF(D93="","-",+C100+1)</f>
        <v>2011</v>
      </c>
      <c r="D101" s="474">
        <v>4547734.1399999997</v>
      </c>
      <c r="E101" s="481">
        <v>90171</v>
      </c>
      <c r="F101" s="480">
        <v>4457563.1399999997</v>
      </c>
      <c r="G101" s="480">
        <v>4502648.6399999997</v>
      </c>
      <c r="H101" s="481">
        <v>719701.78616364778</v>
      </c>
      <c r="I101" s="482">
        <v>719701.78616364778</v>
      </c>
      <c r="J101" s="479">
        <f t="shared" si="23"/>
        <v>0</v>
      </c>
      <c r="K101" s="479"/>
      <c r="L101" s="541">
        <f t="shared" si="24"/>
        <v>719701.78616364778</v>
      </c>
      <c r="M101" s="542">
        <f t="shared" si="25"/>
        <v>0</v>
      </c>
      <c r="N101" s="541">
        <f t="shared" si="26"/>
        <v>719701.78616364778</v>
      </c>
      <c r="O101" s="479">
        <f t="shared" si="27"/>
        <v>0</v>
      </c>
      <c r="P101" s="479">
        <f t="shared" si="28"/>
        <v>0</v>
      </c>
    </row>
    <row r="102" spans="1:16" ht="12.5">
      <c r="B102" s="160" t="str">
        <f t="shared" si="29"/>
        <v/>
      </c>
      <c r="C102" s="473">
        <f>IF(D93="","-",+C101+1)</f>
        <v>2012</v>
      </c>
      <c r="D102" s="474">
        <v>4457563.1399999997</v>
      </c>
      <c r="E102" s="481">
        <v>90171</v>
      </c>
      <c r="F102" s="480">
        <v>4367392.1399999997</v>
      </c>
      <c r="G102" s="480">
        <v>4412477.6399999997</v>
      </c>
      <c r="H102" s="481">
        <v>724930.09682284109</v>
      </c>
      <c r="I102" s="482">
        <v>724930.09682284109</v>
      </c>
      <c r="J102" s="479">
        <v>0</v>
      </c>
      <c r="K102" s="479"/>
      <c r="L102" s="541">
        <f t="shared" si="24"/>
        <v>724930.09682284109</v>
      </c>
      <c r="M102" s="542">
        <f t="shared" ref="M102:M107" si="30">IF(L102&lt;&gt;0,+H102-L102,0)</f>
        <v>0</v>
      </c>
      <c r="N102" s="541">
        <f t="shared" si="26"/>
        <v>724930.09682284109</v>
      </c>
      <c r="O102" s="479">
        <f>IF(N102&lt;&gt;0,+I102-N102,0)</f>
        <v>0</v>
      </c>
      <c r="P102" s="479">
        <f>+O102-M102</f>
        <v>0</v>
      </c>
    </row>
    <row r="103" spans="1:16" ht="12.5">
      <c r="B103" s="160" t="str">
        <f t="shared" si="29"/>
        <v/>
      </c>
      <c r="C103" s="473">
        <f>IF(D93="","-",+C102+1)</f>
        <v>2013</v>
      </c>
      <c r="D103" s="474">
        <v>4367392.1399999997</v>
      </c>
      <c r="E103" s="481">
        <v>90171</v>
      </c>
      <c r="F103" s="480">
        <v>4277221.1399999997</v>
      </c>
      <c r="G103" s="480">
        <v>4322306.6399999997</v>
      </c>
      <c r="H103" s="481">
        <v>712322.06264393788</v>
      </c>
      <c r="I103" s="482">
        <v>712322.06264393788</v>
      </c>
      <c r="J103" s="479">
        <v>0</v>
      </c>
      <c r="K103" s="479"/>
      <c r="L103" s="541">
        <f t="shared" si="24"/>
        <v>712322.06264393788</v>
      </c>
      <c r="M103" s="542">
        <f t="shared" si="30"/>
        <v>0</v>
      </c>
      <c r="N103" s="541">
        <f t="shared" si="26"/>
        <v>712322.06264393788</v>
      </c>
      <c r="O103" s="479">
        <f>IF(N103&lt;&gt;0,+I103-N103,0)</f>
        <v>0</v>
      </c>
      <c r="P103" s="479">
        <f>+O103-M103</f>
        <v>0</v>
      </c>
    </row>
    <row r="104" spans="1:16" ht="12.5">
      <c r="B104" s="160" t="str">
        <f t="shared" si="29"/>
        <v/>
      </c>
      <c r="C104" s="473">
        <f>IF(D93="","-",+C103+1)</f>
        <v>2014</v>
      </c>
      <c r="D104" s="474">
        <v>4277221.1399999997</v>
      </c>
      <c r="E104" s="481">
        <v>90171</v>
      </c>
      <c r="F104" s="480">
        <v>4187050.1399999997</v>
      </c>
      <c r="G104" s="480">
        <v>4232135.6399999997</v>
      </c>
      <c r="H104" s="481">
        <v>685191.9710405051</v>
      </c>
      <c r="I104" s="482">
        <v>685191.9710405051</v>
      </c>
      <c r="J104" s="479">
        <v>0</v>
      </c>
      <c r="K104" s="479"/>
      <c r="L104" s="541">
        <f t="shared" si="24"/>
        <v>685191.9710405051</v>
      </c>
      <c r="M104" s="542">
        <f t="shared" si="30"/>
        <v>0</v>
      </c>
      <c r="N104" s="541">
        <f t="shared" si="26"/>
        <v>685191.9710405051</v>
      </c>
      <c r="O104" s="479">
        <f>IF(N104&lt;&gt;0,+I104-N104,0)</f>
        <v>0</v>
      </c>
      <c r="P104" s="479">
        <f>+O104-M104</f>
        <v>0</v>
      </c>
    </row>
    <row r="105" spans="1:16" ht="12.5">
      <c r="B105" s="160" t="str">
        <f t="shared" si="29"/>
        <v/>
      </c>
      <c r="C105" s="473">
        <f>IF(D93="","-",+C104+1)</f>
        <v>2015</v>
      </c>
      <c r="D105" s="474">
        <v>4187050.1399999997</v>
      </c>
      <c r="E105" s="481">
        <v>90171</v>
      </c>
      <c r="F105" s="480">
        <v>4096879.1399999997</v>
      </c>
      <c r="G105" s="480">
        <v>4141964.6399999997</v>
      </c>
      <c r="H105" s="481">
        <v>655308.7720911433</v>
      </c>
      <c r="I105" s="482">
        <v>655308.7720911433</v>
      </c>
      <c r="J105" s="479">
        <f t="shared" si="23"/>
        <v>0</v>
      </c>
      <c r="K105" s="479"/>
      <c r="L105" s="541">
        <f>H105</f>
        <v>655308.7720911433</v>
      </c>
      <c r="M105" s="542">
        <f t="shared" si="30"/>
        <v>0</v>
      </c>
      <c r="N105" s="541">
        <f>I105</f>
        <v>655308.7720911433</v>
      </c>
      <c r="O105" s="479">
        <f t="shared" si="27"/>
        <v>0</v>
      </c>
      <c r="P105" s="479">
        <f t="shared" si="28"/>
        <v>0</v>
      </c>
    </row>
    <row r="106" spans="1:16" ht="12.5">
      <c r="B106" s="160" t="str">
        <f t="shared" si="29"/>
        <v/>
      </c>
      <c r="C106" s="473">
        <f>IF(D93="","-",+C105+1)</f>
        <v>2016</v>
      </c>
      <c r="D106" s="474">
        <v>4096879.1399999997</v>
      </c>
      <c r="E106" s="481">
        <v>101933</v>
      </c>
      <c r="F106" s="480">
        <v>3994946.1399999997</v>
      </c>
      <c r="G106" s="480">
        <v>4045912.6399999997</v>
      </c>
      <c r="H106" s="481">
        <v>623514.8578657991</v>
      </c>
      <c r="I106" s="482">
        <v>623514.8578657991</v>
      </c>
      <c r="J106" s="479">
        <f t="shared" si="23"/>
        <v>0</v>
      </c>
      <c r="K106" s="479"/>
      <c r="L106" s="541">
        <f>H106</f>
        <v>623514.8578657991</v>
      </c>
      <c r="M106" s="542">
        <f t="shared" si="30"/>
        <v>0</v>
      </c>
      <c r="N106" s="541">
        <f>I106</f>
        <v>623514.8578657991</v>
      </c>
      <c r="O106" s="479">
        <f>IF(N106&lt;&gt;0,+I106-N106,0)</f>
        <v>0</v>
      </c>
      <c r="P106" s="479">
        <f>+O106-M106</f>
        <v>0</v>
      </c>
    </row>
    <row r="107" spans="1:16" ht="12.5">
      <c r="B107" s="160" t="str">
        <f t="shared" si="29"/>
        <v/>
      </c>
      <c r="C107" s="473">
        <f>IF(D93="","-",+C106+1)</f>
        <v>2017</v>
      </c>
      <c r="D107" s="474">
        <v>3994946.1399999997</v>
      </c>
      <c r="E107" s="481">
        <v>101933</v>
      </c>
      <c r="F107" s="480">
        <v>3893013.1399999997</v>
      </c>
      <c r="G107" s="480">
        <v>3943979.6399999997</v>
      </c>
      <c r="H107" s="481">
        <v>602236.76208219538</v>
      </c>
      <c r="I107" s="482">
        <v>602236.76208219538</v>
      </c>
      <c r="J107" s="479">
        <f t="shared" si="23"/>
        <v>0</v>
      </c>
      <c r="K107" s="479"/>
      <c r="L107" s="541">
        <f>H107</f>
        <v>602236.76208219538</v>
      </c>
      <c r="M107" s="542">
        <f t="shared" si="30"/>
        <v>0</v>
      </c>
      <c r="N107" s="541">
        <f>I107</f>
        <v>602236.76208219538</v>
      </c>
      <c r="O107" s="479">
        <f>IF(N107&lt;&gt;0,+I107-N107,0)</f>
        <v>0</v>
      </c>
      <c r="P107" s="479">
        <f>+O107-M107</f>
        <v>0</v>
      </c>
    </row>
    <row r="108" spans="1:16" ht="12.5">
      <c r="B108" s="160" t="str">
        <f t="shared" si="29"/>
        <v/>
      </c>
      <c r="C108" s="473">
        <f>IF(D93="","-",+C107+1)</f>
        <v>2018</v>
      </c>
      <c r="D108" s="474">
        <v>3893013.1399999997</v>
      </c>
      <c r="E108" s="481">
        <v>109044</v>
      </c>
      <c r="F108" s="480">
        <v>3783969.1399999997</v>
      </c>
      <c r="G108" s="480">
        <v>3838491.1399999997</v>
      </c>
      <c r="H108" s="481">
        <v>503393.56302800257</v>
      </c>
      <c r="I108" s="482">
        <v>503393.56302800257</v>
      </c>
      <c r="J108" s="479">
        <f t="shared" si="23"/>
        <v>0</v>
      </c>
      <c r="K108" s="479"/>
      <c r="L108" s="541">
        <f>H108</f>
        <v>503393.56302800257</v>
      </c>
      <c r="M108" s="542">
        <f t="shared" ref="M108" si="31">IF(L108&lt;&gt;0,+H108-L108,0)</f>
        <v>0</v>
      </c>
      <c r="N108" s="541">
        <f>I108</f>
        <v>503393.56302800257</v>
      </c>
      <c r="O108" s="479">
        <f>IF(N108&lt;&gt;0,+I108-N108,0)</f>
        <v>0</v>
      </c>
      <c r="P108" s="479">
        <f>+O108-M108</f>
        <v>0</v>
      </c>
    </row>
    <row r="109" spans="1:16" ht="12.5">
      <c r="B109" s="160" t="str">
        <f t="shared" si="29"/>
        <v/>
      </c>
      <c r="C109" s="473">
        <f>IF(D93="","-",+C108+1)</f>
        <v>2019</v>
      </c>
      <c r="D109" s="474">
        <v>3783969.1399999997</v>
      </c>
      <c r="E109" s="481">
        <v>114363</v>
      </c>
      <c r="F109" s="480">
        <v>3669606.1399999997</v>
      </c>
      <c r="G109" s="480">
        <v>3726787.6399999997</v>
      </c>
      <c r="H109" s="481">
        <v>498647.07790793071</v>
      </c>
      <c r="I109" s="482">
        <v>498647.07790793071</v>
      </c>
      <c r="J109" s="479">
        <f t="shared" si="23"/>
        <v>0</v>
      </c>
      <c r="K109" s="479"/>
      <c r="L109" s="541">
        <f>H109</f>
        <v>498647.07790793071</v>
      </c>
      <c r="M109" s="542">
        <f t="shared" ref="M109" si="32">IF(L109&lt;&gt;0,+H109-L109,0)</f>
        <v>0</v>
      </c>
      <c r="N109" s="541">
        <f>I109</f>
        <v>498647.07790793071</v>
      </c>
      <c r="O109" s="479">
        <f t="shared" si="27"/>
        <v>0</v>
      </c>
      <c r="P109" s="479">
        <f t="shared" si="28"/>
        <v>0</v>
      </c>
    </row>
    <row r="110" spans="1:16" ht="12.5">
      <c r="B110" s="160" t="str">
        <f t="shared" si="29"/>
        <v/>
      </c>
      <c r="C110" s="473">
        <f>IF(D93="","-",+C109+1)</f>
        <v>2020</v>
      </c>
      <c r="D110" s="347">
        <f>IF(F109+SUM(E$99:E109)=D$92,F109,D$92-SUM(E$99:E109))</f>
        <v>3669606.1399999997</v>
      </c>
      <c r="E110" s="487">
        <f>IF(+J96&lt;F109,J96,D110)</f>
        <v>109044</v>
      </c>
      <c r="F110" s="486">
        <f t="shared" ref="F110:F130" si="33">+D110-E110</f>
        <v>3560562.1399999997</v>
      </c>
      <c r="G110" s="486">
        <f t="shared" ref="G110:G130" si="34">+(F110+D110)/2</f>
        <v>3615084.1399999997</v>
      </c>
      <c r="H110" s="487">
        <f>(D110+F110)/2*J$94+E110</f>
        <v>525853.2624876654</v>
      </c>
      <c r="I110" s="543">
        <f t="shared" ref="I110:I154" si="35">+J$95*G110+E110</f>
        <v>525853.2624876654</v>
      </c>
      <c r="J110" s="479">
        <f t="shared" si="23"/>
        <v>0</v>
      </c>
      <c r="K110" s="479"/>
      <c r="L110" s="488"/>
      <c r="M110" s="479">
        <f t="shared" si="25"/>
        <v>0</v>
      </c>
      <c r="N110" s="488"/>
      <c r="O110" s="479">
        <f t="shared" si="27"/>
        <v>0</v>
      </c>
      <c r="P110" s="479">
        <f t="shared" si="28"/>
        <v>0</v>
      </c>
    </row>
    <row r="111" spans="1:16" ht="12.5">
      <c r="B111" s="160" t="str">
        <f t="shared" si="29"/>
        <v/>
      </c>
      <c r="C111" s="473">
        <f>IF(D93="","-",+C110+1)</f>
        <v>2021</v>
      </c>
      <c r="D111" s="347">
        <f>IF(F110+SUM(E$99:E110)=D$92,F110,D$92-SUM(E$99:E110))</f>
        <v>3560562.1399999997</v>
      </c>
      <c r="E111" s="487">
        <f>IF(+J96&lt;F110,J96,D111)</f>
        <v>109044</v>
      </c>
      <c r="F111" s="486">
        <f t="shared" si="33"/>
        <v>3451518.1399999997</v>
      </c>
      <c r="G111" s="486">
        <f t="shared" si="34"/>
        <v>3506040.1399999997</v>
      </c>
      <c r="H111" s="487">
        <f t="shared" ref="H111:H154" si="36">(D111+F111)/2*J$94+E111</f>
        <v>513280.78907942405</v>
      </c>
      <c r="I111" s="543">
        <f t="shared" si="35"/>
        <v>513280.78907942405</v>
      </c>
      <c r="J111" s="479">
        <f t="shared" si="23"/>
        <v>0</v>
      </c>
      <c r="K111" s="479"/>
      <c r="L111" s="488"/>
      <c r="M111" s="479">
        <f t="shared" si="25"/>
        <v>0</v>
      </c>
      <c r="N111" s="488"/>
      <c r="O111" s="479">
        <f t="shared" si="27"/>
        <v>0</v>
      </c>
      <c r="P111" s="479">
        <f t="shared" si="28"/>
        <v>0</v>
      </c>
    </row>
    <row r="112" spans="1:16" ht="12.5">
      <c r="B112" s="160" t="str">
        <f t="shared" si="29"/>
        <v/>
      </c>
      <c r="C112" s="473">
        <f>IF(D93="","-",+C111+1)</f>
        <v>2022</v>
      </c>
      <c r="D112" s="347">
        <f>IF(F111+SUM(E$99:E111)=D$92,F111,D$92-SUM(E$99:E111))</f>
        <v>3451518.1399999997</v>
      </c>
      <c r="E112" s="487">
        <f>IF(+J96&lt;F111,J96,D112)</f>
        <v>109044</v>
      </c>
      <c r="F112" s="486">
        <f t="shared" si="33"/>
        <v>3342474.1399999997</v>
      </c>
      <c r="G112" s="486">
        <f t="shared" si="34"/>
        <v>3396996.1399999997</v>
      </c>
      <c r="H112" s="487">
        <f t="shared" si="36"/>
        <v>500708.3156711827</v>
      </c>
      <c r="I112" s="543">
        <f t="shared" si="35"/>
        <v>500708.3156711827</v>
      </c>
      <c r="J112" s="479">
        <f t="shared" si="23"/>
        <v>0</v>
      </c>
      <c r="K112" s="479"/>
      <c r="L112" s="488"/>
      <c r="M112" s="479">
        <f t="shared" si="25"/>
        <v>0</v>
      </c>
      <c r="N112" s="488"/>
      <c r="O112" s="479">
        <f t="shared" si="27"/>
        <v>0</v>
      </c>
      <c r="P112" s="479">
        <f t="shared" si="28"/>
        <v>0</v>
      </c>
    </row>
    <row r="113" spans="2:16" ht="12.5">
      <c r="B113" s="160" t="str">
        <f t="shared" si="29"/>
        <v/>
      </c>
      <c r="C113" s="473">
        <f>IF(D93="","-",+C112+1)</f>
        <v>2023</v>
      </c>
      <c r="D113" s="347">
        <f>IF(F112+SUM(E$99:E112)=D$92,F112,D$92-SUM(E$99:E112))</f>
        <v>3342474.1399999997</v>
      </c>
      <c r="E113" s="487">
        <f>IF(+J96&lt;F112,J96,D113)</f>
        <v>109044</v>
      </c>
      <c r="F113" s="486">
        <f t="shared" si="33"/>
        <v>3233430.1399999997</v>
      </c>
      <c r="G113" s="486">
        <f t="shared" si="34"/>
        <v>3287952.1399999997</v>
      </c>
      <c r="H113" s="487">
        <f t="shared" si="36"/>
        <v>488135.84226294141</v>
      </c>
      <c r="I113" s="543">
        <f t="shared" si="35"/>
        <v>488135.84226294141</v>
      </c>
      <c r="J113" s="479">
        <f t="shared" si="23"/>
        <v>0</v>
      </c>
      <c r="K113" s="479"/>
      <c r="L113" s="488"/>
      <c r="M113" s="479">
        <f t="shared" si="25"/>
        <v>0</v>
      </c>
      <c r="N113" s="488"/>
      <c r="O113" s="479">
        <f t="shared" si="27"/>
        <v>0</v>
      </c>
      <c r="P113" s="479">
        <f t="shared" si="28"/>
        <v>0</v>
      </c>
    </row>
    <row r="114" spans="2:16" ht="12.5">
      <c r="B114" s="160" t="str">
        <f t="shared" si="29"/>
        <v/>
      </c>
      <c r="C114" s="473">
        <f>IF(D93="","-",+C113+1)</f>
        <v>2024</v>
      </c>
      <c r="D114" s="347">
        <f>IF(F113+SUM(E$99:E113)=D$92,F113,D$92-SUM(E$99:E113))</f>
        <v>3233430.1399999997</v>
      </c>
      <c r="E114" s="487">
        <f>IF(+J96&lt;F113,J96,D114)</f>
        <v>109044</v>
      </c>
      <c r="F114" s="486">
        <f t="shared" si="33"/>
        <v>3124386.1399999997</v>
      </c>
      <c r="G114" s="486">
        <f t="shared" si="34"/>
        <v>3178908.1399999997</v>
      </c>
      <c r="H114" s="487">
        <f t="shared" si="36"/>
        <v>475563.36885470006</v>
      </c>
      <c r="I114" s="543">
        <f t="shared" si="35"/>
        <v>475563.36885470006</v>
      </c>
      <c r="J114" s="479">
        <f t="shared" si="23"/>
        <v>0</v>
      </c>
      <c r="K114" s="479"/>
      <c r="L114" s="488"/>
      <c r="M114" s="479">
        <f t="shared" si="25"/>
        <v>0</v>
      </c>
      <c r="N114" s="488"/>
      <c r="O114" s="479">
        <f t="shared" si="27"/>
        <v>0</v>
      </c>
      <c r="P114" s="479">
        <f t="shared" si="28"/>
        <v>0</v>
      </c>
    </row>
    <row r="115" spans="2:16" ht="12.5">
      <c r="B115" s="160" t="str">
        <f t="shared" si="29"/>
        <v/>
      </c>
      <c r="C115" s="473">
        <f>IF(D93="","-",+C114+1)</f>
        <v>2025</v>
      </c>
      <c r="D115" s="347">
        <f>IF(F114+SUM(E$99:E114)=D$92,F114,D$92-SUM(E$99:E114))</f>
        <v>3124386.1399999997</v>
      </c>
      <c r="E115" s="487">
        <f>IF(+J96&lt;F114,J96,D115)</f>
        <v>109044</v>
      </c>
      <c r="F115" s="486">
        <f t="shared" si="33"/>
        <v>3015342.1399999997</v>
      </c>
      <c r="G115" s="486">
        <f t="shared" si="34"/>
        <v>3069864.1399999997</v>
      </c>
      <c r="H115" s="487">
        <f t="shared" si="36"/>
        <v>462990.89544645872</v>
      </c>
      <c r="I115" s="543">
        <f t="shared" si="35"/>
        <v>462990.89544645872</v>
      </c>
      <c r="J115" s="479">
        <f t="shared" si="23"/>
        <v>0</v>
      </c>
      <c r="K115" s="479"/>
      <c r="L115" s="488"/>
      <c r="M115" s="479">
        <f t="shared" si="25"/>
        <v>0</v>
      </c>
      <c r="N115" s="488"/>
      <c r="O115" s="479">
        <f t="shared" si="27"/>
        <v>0</v>
      </c>
      <c r="P115" s="479">
        <f t="shared" si="28"/>
        <v>0</v>
      </c>
    </row>
    <row r="116" spans="2:16" ht="12.5">
      <c r="B116" s="160" t="str">
        <f t="shared" si="29"/>
        <v/>
      </c>
      <c r="C116" s="473">
        <f>IF(D93="","-",+C115+1)</f>
        <v>2026</v>
      </c>
      <c r="D116" s="347">
        <f>IF(F115+SUM(E$99:E115)=D$92,F115,D$92-SUM(E$99:E115))</f>
        <v>3015342.1399999997</v>
      </c>
      <c r="E116" s="487">
        <f>IF(+J96&lt;F115,J96,D116)</f>
        <v>109044</v>
      </c>
      <c r="F116" s="486">
        <f t="shared" si="33"/>
        <v>2906298.1399999997</v>
      </c>
      <c r="G116" s="486">
        <f t="shared" si="34"/>
        <v>2960820.1399999997</v>
      </c>
      <c r="H116" s="487">
        <f t="shared" si="36"/>
        <v>450418.42203821737</v>
      </c>
      <c r="I116" s="543">
        <f t="shared" si="35"/>
        <v>450418.42203821737</v>
      </c>
      <c r="J116" s="479">
        <f t="shared" si="23"/>
        <v>0</v>
      </c>
      <c r="K116" s="479"/>
      <c r="L116" s="488"/>
      <c r="M116" s="479">
        <f t="shared" si="25"/>
        <v>0</v>
      </c>
      <c r="N116" s="488"/>
      <c r="O116" s="479">
        <f t="shared" si="27"/>
        <v>0</v>
      </c>
      <c r="P116" s="479">
        <f t="shared" si="28"/>
        <v>0</v>
      </c>
    </row>
    <row r="117" spans="2:16" ht="12.5">
      <c r="B117" s="160" t="str">
        <f t="shared" si="29"/>
        <v/>
      </c>
      <c r="C117" s="473">
        <f>IF(D93="","-",+C116+1)</f>
        <v>2027</v>
      </c>
      <c r="D117" s="347">
        <f>IF(F116+SUM(E$99:E116)=D$92,F116,D$92-SUM(E$99:E116))</f>
        <v>2906298.1399999997</v>
      </c>
      <c r="E117" s="487">
        <f>IF(+J96&lt;F116,J96,D117)</f>
        <v>109044</v>
      </c>
      <c r="F117" s="486">
        <f t="shared" si="33"/>
        <v>2797254.1399999997</v>
      </c>
      <c r="G117" s="486">
        <f t="shared" si="34"/>
        <v>2851776.1399999997</v>
      </c>
      <c r="H117" s="487">
        <f t="shared" si="36"/>
        <v>437845.94862997608</v>
      </c>
      <c r="I117" s="543">
        <f t="shared" si="35"/>
        <v>437845.94862997608</v>
      </c>
      <c r="J117" s="479">
        <f t="shared" si="23"/>
        <v>0</v>
      </c>
      <c r="K117" s="479"/>
      <c r="L117" s="488"/>
      <c r="M117" s="479">
        <f t="shared" si="25"/>
        <v>0</v>
      </c>
      <c r="N117" s="488"/>
      <c r="O117" s="479">
        <f t="shared" si="27"/>
        <v>0</v>
      </c>
      <c r="P117" s="479">
        <f t="shared" si="28"/>
        <v>0</v>
      </c>
    </row>
    <row r="118" spans="2:16" ht="12.5">
      <c r="B118" s="160" t="str">
        <f t="shared" si="29"/>
        <v/>
      </c>
      <c r="C118" s="473">
        <f>IF(D93="","-",+C117+1)</f>
        <v>2028</v>
      </c>
      <c r="D118" s="347">
        <f>IF(F117+SUM(E$99:E117)=D$92,F117,D$92-SUM(E$99:E117))</f>
        <v>2797254.1399999997</v>
      </c>
      <c r="E118" s="487">
        <f>IF(+J96&lt;F117,J96,D118)</f>
        <v>109044</v>
      </c>
      <c r="F118" s="486">
        <f t="shared" si="33"/>
        <v>2688210.1399999997</v>
      </c>
      <c r="G118" s="486">
        <f t="shared" si="34"/>
        <v>2742732.1399999997</v>
      </c>
      <c r="H118" s="487">
        <f t="shared" si="36"/>
        <v>425273.47522173473</v>
      </c>
      <c r="I118" s="543">
        <f t="shared" si="35"/>
        <v>425273.47522173473</v>
      </c>
      <c r="J118" s="479">
        <f t="shared" si="23"/>
        <v>0</v>
      </c>
      <c r="K118" s="479"/>
      <c r="L118" s="488"/>
      <c r="M118" s="479">
        <f t="shared" si="25"/>
        <v>0</v>
      </c>
      <c r="N118" s="488"/>
      <c r="O118" s="479">
        <f t="shared" si="27"/>
        <v>0</v>
      </c>
      <c r="P118" s="479">
        <f t="shared" si="28"/>
        <v>0</v>
      </c>
    </row>
    <row r="119" spans="2:16" ht="12.5">
      <c r="B119" s="160" t="str">
        <f t="shared" si="29"/>
        <v/>
      </c>
      <c r="C119" s="473">
        <f>IF(D93="","-",+C118+1)</f>
        <v>2029</v>
      </c>
      <c r="D119" s="347">
        <f>IF(F118+SUM(E$99:E118)=D$92,F118,D$92-SUM(E$99:E118))</f>
        <v>2688210.1399999997</v>
      </c>
      <c r="E119" s="487">
        <f>IF(+J96&lt;F118,J96,D119)</f>
        <v>109044</v>
      </c>
      <c r="F119" s="486">
        <f t="shared" si="33"/>
        <v>2579166.1399999997</v>
      </c>
      <c r="G119" s="486">
        <f t="shared" si="34"/>
        <v>2633688.1399999997</v>
      </c>
      <c r="H119" s="487">
        <f t="shared" si="36"/>
        <v>412701.00181349338</v>
      </c>
      <c r="I119" s="543">
        <f t="shared" si="35"/>
        <v>412701.00181349338</v>
      </c>
      <c r="J119" s="479">
        <f t="shared" si="23"/>
        <v>0</v>
      </c>
      <c r="K119" s="479"/>
      <c r="L119" s="488"/>
      <c r="M119" s="479">
        <f t="shared" si="25"/>
        <v>0</v>
      </c>
      <c r="N119" s="488"/>
      <c r="O119" s="479">
        <f t="shared" si="27"/>
        <v>0</v>
      </c>
      <c r="P119" s="479">
        <f t="shared" si="28"/>
        <v>0</v>
      </c>
    </row>
    <row r="120" spans="2:16" ht="12.5">
      <c r="B120" s="160" t="str">
        <f t="shared" si="29"/>
        <v/>
      </c>
      <c r="C120" s="473">
        <f>IF(D93="","-",+C119+1)</f>
        <v>2030</v>
      </c>
      <c r="D120" s="347">
        <f>IF(F119+SUM(E$99:E119)=D$92,F119,D$92-SUM(E$99:E119))</f>
        <v>2579166.1399999997</v>
      </c>
      <c r="E120" s="487">
        <f>IF(+J96&lt;F119,J96,D120)</f>
        <v>109044</v>
      </c>
      <c r="F120" s="486">
        <f t="shared" si="33"/>
        <v>2470122.1399999997</v>
      </c>
      <c r="G120" s="486">
        <f t="shared" si="34"/>
        <v>2524644.1399999997</v>
      </c>
      <c r="H120" s="487">
        <f t="shared" si="36"/>
        <v>400128.52840525203</v>
      </c>
      <c r="I120" s="543">
        <f t="shared" si="35"/>
        <v>400128.52840525203</v>
      </c>
      <c r="J120" s="479">
        <f t="shared" si="23"/>
        <v>0</v>
      </c>
      <c r="K120" s="479"/>
      <c r="L120" s="488"/>
      <c r="M120" s="479">
        <f t="shared" si="25"/>
        <v>0</v>
      </c>
      <c r="N120" s="488"/>
      <c r="O120" s="479">
        <f t="shared" si="27"/>
        <v>0</v>
      </c>
      <c r="P120" s="479">
        <f t="shared" si="28"/>
        <v>0</v>
      </c>
    </row>
    <row r="121" spans="2:16" ht="12.5">
      <c r="B121" s="160" t="str">
        <f t="shared" si="29"/>
        <v/>
      </c>
      <c r="C121" s="473">
        <f>IF(D93="","-",+C120+1)</f>
        <v>2031</v>
      </c>
      <c r="D121" s="347">
        <f>IF(F120+SUM(E$99:E120)=D$92,F120,D$92-SUM(E$99:E120))</f>
        <v>2470122.1399999997</v>
      </c>
      <c r="E121" s="487">
        <f>IF(+J96&lt;F120,J96,D121)</f>
        <v>109044</v>
      </c>
      <c r="F121" s="486">
        <f t="shared" si="33"/>
        <v>2361078.1399999997</v>
      </c>
      <c r="G121" s="486">
        <f t="shared" si="34"/>
        <v>2415600.1399999997</v>
      </c>
      <c r="H121" s="487">
        <f t="shared" si="36"/>
        <v>387556.05499701074</v>
      </c>
      <c r="I121" s="543">
        <f t="shared" si="35"/>
        <v>387556.05499701074</v>
      </c>
      <c r="J121" s="479">
        <f t="shared" si="23"/>
        <v>0</v>
      </c>
      <c r="K121" s="479"/>
      <c r="L121" s="488"/>
      <c r="M121" s="479">
        <f t="shared" si="25"/>
        <v>0</v>
      </c>
      <c r="N121" s="488"/>
      <c r="O121" s="479">
        <f t="shared" si="27"/>
        <v>0</v>
      </c>
      <c r="P121" s="479">
        <f t="shared" si="28"/>
        <v>0</v>
      </c>
    </row>
    <row r="122" spans="2:16" ht="12.5">
      <c r="B122" s="160" t="str">
        <f t="shared" si="29"/>
        <v/>
      </c>
      <c r="C122" s="473">
        <f>IF(D93="","-",+C121+1)</f>
        <v>2032</v>
      </c>
      <c r="D122" s="347">
        <f>IF(F121+SUM(E$99:E121)=D$92,F121,D$92-SUM(E$99:E121))</f>
        <v>2361078.1399999997</v>
      </c>
      <c r="E122" s="487">
        <f>IF(+J96&lt;F121,J96,D122)</f>
        <v>109044</v>
      </c>
      <c r="F122" s="486">
        <f t="shared" si="33"/>
        <v>2252034.1399999997</v>
      </c>
      <c r="G122" s="486">
        <f t="shared" si="34"/>
        <v>2306556.1399999997</v>
      </c>
      <c r="H122" s="487">
        <f t="shared" si="36"/>
        <v>374983.58158876939</v>
      </c>
      <c r="I122" s="543">
        <f t="shared" si="35"/>
        <v>374983.58158876939</v>
      </c>
      <c r="J122" s="479">
        <f t="shared" si="23"/>
        <v>0</v>
      </c>
      <c r="K122" s="479"/>
      <c r="L122" s="488"/>
      <c r="M122" s="479">
        <f t="shared" si="25"/>
        <v>0</v>
      </c>
      <c r="N122" s="488"/>
      <c r="O122" s="479">
        <f t="shared" si="27"/>
        <v>0</v>
      </c>
      <c r="P122" s="479">
        <f t="shared" si="28"/>
        <v>0</v>
      </c>
    </row>
    <row r="123" spans="2:16" ht="12.5">
      <c r="B123" s="160" t="str">
        <f t="shared" si="29"/>
        <v/>
      </c>
      <c r="C123" s="473">
        <f>IF(D93="","-",+C122+1)</f>
        <v>2033</v>
      </c>
      <c r="D123" s="347">
        <f>IF(F122+SUM(E$99:E122)=D$92,F122,D$92-SUM(E$99:E122))</f>
        <v>2252034.1399999997</v>
      </c>
      <c r="E123" s="487">
        <f>IF(+J96&lt;F122,J96,D123)</f>
        <v>109044</v>
      </c>
      <c r="F123" s="486">
        <f t="shared" si="33"/>
        <v>2142990.1399999997</v>
      </c>
      <c r="G123" s="486">
        <f t="shared" si="34"/>
        <v>2197512.1399999997</v>
      </c>
      <c r="H123" s="487">
        <f t="shared" si="36"/>
        <v>362411.10818052804</v>
      </c>
      <c r="I123" s="543">
        <f t="shared" si="35"/>
        <v>362411.10818052804</v>
      </c>
      <c r="J123" s="479">
        <f t="shared" si="23"/>
        <v>0</v>
      </c>
      <c r="K123" s="479"/>
      <c r="L123" s="488"/>
      <c r="M123" s="479">
        <f t="shared" si="25"/>
        <v>0</v>
      </c>
      <c r="N123" s="488"/>
      <c r="O123" s="479">
        <f t="shared" si="27"/>
        <v>0</v>
      </c>
      <c r="P123" s="479">
        <f t="shared" si="28"/>
        <v>0</v>
      </c>
    </row>
    <row r="124" spans="2:16" ht="12.5">
      <c r="B124" s="160" t="str">
        <f t="shared" si="29"/>
        <v/>
      </c>
      <c r="C124" s="473">
        <f>IF(D93="","-",+C123+1)</f>
        <v>2034</v>
      </c>
      <c r="D124" s="347">
        <f>IF(F123+SUM(E$99:E123)=D$92,F123,D$92-SUM(E$99:E123))</f>
        <v>2142990.1399999997</v>
      </c>
      <c r="E124" s="487">
        <f>IF(+J96&lt;F123,J96,D124)</f>
        <v>109044</v>
      </c>
      <c r="F124" s="486">
        <f t="shared" si="33"/>
        <v>2033946.1399999997</v>
      </c>
      <c r="G124" s="486">
        <f t="shared" si="34"/>
        <v>2088468.1399999997</v>
      </c>
      <c r="H124" s="487">
        <f t="shared" si="36"/>
        <v>349838.63477228675</v>
      </c>
      <c r="I124" s="543">
        <f t="shared" si="35"/>
        <v>349838.63477228675</v>
      </c>
      <c r="J124" s="479">
        <f t="shared" si="23"/>
        <v>0</v>
      </c>
      <c r="K124" s="479"/>
      <c r="L124" s="488"/>
      <c r="M124" s="479">
        <f t="shared" si="25"/>
        <v>0</v>
      </c>
      <c r="N124" s="488"/>
      <c r="O124" s="479">
        <f t="shared" si="27"/>
        <v>0</v>
      </c>
      <c r="P124" s="479">
        <f t="shared" si="28"/>
        <v>0</v>
      </c>
    </row>
    <row r="125" spans="2:16" ht="12.5">
      <c r="B125" s="160" t="str">
        <f t="shared" si="29"/>
        <v/>
      </c>
      <c r="C125" s="473">
        <f>IF(D93="","-",+C124+1)</f>
        <v>2035</v>
      </c>
      <c r="D125" s="347">
        <f>IF(F124+SUM(E$99:E124)=D$92,F124,D$92-SUM(E$99:E124))</f>
        <v>2033946.1399999997</v>
      </c>
      <c r="E125" s="487">
        <f>IF(+J96&lt;F124,J96,D125)</f>
        <v>109044</v>
      </c>
      <c r="F125" s="486">
        <f t="shared" si="33"/>
        <v>1924902.1399999997</v>
      </c>
      <c r="G125" s="486">
        <f t="shared" si="34"/>
        <v>1979424.1399999997</v>
      </c>
      <c r="H125" s="487">
        <f t="shared" si="36"/>
        <v>337266.1613640454</v>
      </c>
      <c r="I125" s="543">
        <f t="shared" si="35"/>
        <v>337266.1613640454</v>
      </c>
      <c r="J125" s="479">
        <f t="shared" si="23"/>
        <v>0</v>
      </c>
      <c r="K125" s="479"/>
      <c r="L125" s="488"/>
      <c r="M125" s="479">
        <f t="shared" si="25"/>
        <v>0</v>
      </c>
      <c r="N125" s="488"/>
      <c r="O125" s="479">
        <f t="shared" si="27"/>
        <v>0</v>
      </c>
      <c r="P125" s="479">
        <f t="shared" si="28"/>
        <v>0</v>
      </c>
    </row>
    <row r="126" spans="2:16" ht="12.5">
      <c r="B126" s="160" t="str">
        <f t="shared" si="29"/>
        <v/>
      </c>
      <c r="C126" s="473">
        <f>IF(D93="","-",+C125+1)</f>
        <v>2036</v>
      </c>
      <c r="D126" s="347">
        <f>IF(F125+SUM(E$99:E125)=D$92,F125,D$92-SUM(E$99:E125))</f>
        <v>1924902.1399999997</v>
      </c>
      <c r="E126" s="487">
        <f>IF(+J96&lt;F125,J96,D126)</f>
        <v>109044</v>
      </c>
      <c r="F126" s="486">
        <f t="shared" si="33"/>
        <v>1815858.1399999997</v>
      </c>
      <c r="G126" s="486">
        <f t="shared" si="34"/>
        <v>1870380.1399999997</v>
      </c>
      <c r="H126" s="487">
        <f t="shared" si="36"/>
        <v>324693.68795580405</v>
      </c>
      <c r="I126" s="543">
        <f t="shared" si="35"/>
        <v>324693.68795580405</v>
      </c>
      <c r="J126" s="479">
        <f t="shared" si="23"/>
        <v>0</v>
      </c>
      <c r="K126" s="479"/>
      <c r="L126" s="488"/>
      <c r="M126" s="479">
        <f t="shared" si="25"/>
        <v>0</v>
      </c>
      <c r="N126" s="488"/>
      <c r="O126" s="479">
        <f t="shared" si="27"/>
        <v>0</v>
      </c>
      <c r="P126" s="479">
        <f t="shared" si="28"/>
        <v>0</v>
      </c>
    </row>
    <row r="127" spans="2:16" ht="12.5">
      <c r="B127" s="160" t="str">
        <f t="shared" si="29"/>
        <v/>
      </c>
      <c r="C127" s="473">
        <f>IF(D93="","-",+C126+1)</f>
        <v>2037</v>
      </c>
      <c r="D127" s="347">
        <f>IF(F126+SUM(E$99:E126)=D$92,F126,D$92-SUM(E$99:E126))</f>
        <v>1815858.1399999997</v>
      </c>
      <c r="E127" s="487">
        <f>IF(+J96&lt;F126,J96,D127)</f>
        <v>109044</v>
      </c>
      <c r="F127" s="486">
        <f t="shared" si="33"/>
        <v>1706814.1399999997</v>
      </c>
      <c r="G127" s="486">
        <f t="shared" si="34"/>
        <v>1761336.1399999997</v>
      </c>
      <c r="H127" s="487">
        <f t="shared" si="36"/>
        <v>312121.21454756276</v>
      </c>
      <c r="I127" s="543">
        <f t="shared" si="35"/>
        <v>312121.21454756276</v>
      </c>
      <c r="J127" s="479">
        <f t="shared" si="23"/>
        <v>0</v>
      </c>
      <c r="K127" s="479"/>
      <c r="L127" s="488"/>
      <c r="M127" s="479">
        <f t="shared" si="25"/>
        <v>0</v>
      </c>
      <c r="N127" s="488"/>
      <c r="O127" s="479">
        <f t="shared" si="27"/>
        <v>0</v>
      </c>
      <c r="P127" s="479">
        <f t="shared" si="28"/>
        <v>0</v>
      </c>
    </row>
    <row r="128" spans="2:16" ht="12.5">
      <c r="B128" s="160" t="str">
        <f t="shared" si="29"/>
        <v/>
      </c>
      <c r="C128" s="473">
        <f>IF(D93="","-",+C127+1)</f>
        <v>2038</v>
      </c>
      <c r="D128" s="347">
        <f>IF(F127+SUM(E$99:E127)=D$92,F127,D$92-SUM(E$99:E127))</f>
        <v>1706814.1399999997</v>
      </c>
      <c r="E128" s="487">
        <f>IF(+J96&lt;F127,J96,D128)</f>
        <v>109044</v>
      </c>
      <c r="F128" s="486">
        <f t="shared" si="33"/>
        <v>1597770.1399999997</v>
      </c>
      <c r="G128" s="486">
        <f t="shared" si="34"/>
        <v>1652292.1399999997</v>
      </c>
      <c r="H128" s="487">
        <f t="shared" si="36"/>
        <v>299548.74113932136</v>
      </c>
      <c r="I128" s="543">
        <f t="shared" si="35"/>
        <v>299548.74113932136</v>
      </c>
      <c r="J128" s="479">
        <f t="shared" si="23"/>
        <v>0</v>
      </c>
      <c r="K128" s="479"/>
      <c r="L128" s="488"/>
      <c r="M128" s="479">
        <f t="shared" si="25"/>
        <v>0</v>
      </c>
      <c r="N128" s="488"/>
      <c r="O128" s="479">
        <f t="shared" si="27"/>
        <v>0</v>
      </c>
      <c r="P128" s="479">
        <f t="shared" si="28"/>
        <v>0</v>
      </c>
    </row>
    <row r="129" spans="2:16" ht="12.5">
      <c r="B129" s="160" t="str">
        <f t="shared" si="29"/>
        <v/>
      </c>
      <c r="C129" s="473">
        <f>IF(D93="","-",+C128+1)</f>
        <v>2039</v>
      </c>
      <c r="D129" s="347">
        <f>IF(F128+SUM(E$99:E128)=D$92,F128,D$92-SUM(E$99:E128))</f>
        <v>1597770.1399999997</v>
      </c>
      <c r="E129" s="487">
        <f>IF(+J96&lt;F128,J96,D129)</f>
        <v>109044</v>
      </c>
      <c r="F129" s="486">
        <f t="shared" si="33"/>
        <v>1488726.1399999997</v>
      </c>
      <c r="G129" s="486">
        <f t="shared" si="34"/>
        <v>1543248.1399999997</v>
      </c>
      <c r="H129" s="487">
        <f t="shared" si="36"/>
        <v>286976.26773108006</v>
      </c>
      <c r="I129" s="543">
        <f t="shared" si="35"/>
        <v>286976.26773108006</v>
      </c>
      <c r="J129" s="479">
        <f t="shared" si="23"/>
        <v>0</v>
      </c>
      <c r="K129" s="479"/>
      <c r="L129" s="488"/>
      <c r="M129" s="479">
        <f t="shared" si="25"/>
        <v>0</v>
      </c>
      <c r="N129" s="488"/>
      <c r="O129" s="479">
        <f t="shared" si="27"/>
        <v>0</v>
      </c>
      <c r="P129" s="479">
        <f t="shared" si="28"/>
        <v>0</v>
      </c>
    </row>
    <row r="130" spans="2:16" ht="12.5">
      <c r="B130" s="160" t="str">
        <f t="shared" si="29"/>
        <v/>
      </c>
      <c r="C130" s="473">
        <f>IF(D93="","-",+C129+1)</f>
        <v>2040</v>
      </c>
      <c r="D130" s="347">
        <f>IF(F129+SUM(E$99:E129)=D$92,F129,D$92-SUM(E$99:E129))</f>
        <v>1488726.1399999997</v>
      </c>
      <c r="E130" s="487">
        <f>IF(+J96&lt;F129,J96,D130)</f>
        <v>109044</v>
      </c>
      <c r="F130" s="486">
        <f t="shared" si="33"/>
        <v>1379682.1399999997</v>
      </c>
      <c r="G130" s="486">
        <f t="shared" si="34"/>
        <v>1434204.1399999997</v>
      </c>
      <c r="H130" s="487">
        <f t="shared" si="36"/>
        <v>274403.79432283872</v>
      </c>
      <c r="I130" s="543">
        <f t="shared" si="35"/>
        <v>274403.79432283872</v>
      </c>
      <c r="J130" s="479">
        <f t="shared" si="23"/>
        <v>0</v>
      </c>
      <c r="K130" s="479"/>
      <c r="L130" s="488"/>
      <c r="M130" s="479">
        <f t="shared" si="25"/>
        <v>0</v>
      </c>
      <c r="N130" s="488"/>
      <c r="O130" s="479">
        <f t="shared" si="27"/>
        <v>0</v>
      </c>
      <c r="P130" s="479">
        <f t="shared" si="28"/>
        <v>0</v>
      </c>
    </row>
    <row r="131" spans="2:16" ht="12.5">
      <c r="B131" s="160" t="str">
        <f t="shared" si="29"/>
        <v/>
      </c>
      <c r="C131" s="473">
        <f>IF(D93="","-",+C130+1)</f>
        <v>2041</v>
      </c>
      <c r="D131" s="347">
        <f>IF(F130+SUM(E$99:E130)=D$92,F130,D$92-SUM(E$99:E130))</f>
        <v>1379682.1399999997</v>
      </c>
      <c r="E131" s="487">
        <f>IF(+J96&lt;F130,J96,D131)</f>
        <v>109044</v>
      </c>
      <c r="F131" s="486">
        <f t="shared" ref="F131:F154" si="37">+D131-E131</f>
        <v>1270638.1399999997</v>
      </c>
      <c r="G131" s="486">
        <f t="shared" ref="G131:G154" si="38">+(F131+D131)/2</f>
        <v>1325160.1399999997</v>
      </c>
      <c r="H131" s="487">
        <f t="shared" si="36"/>
        <v>261831.3209145974</v>
      </c>
      <c r="I131" s="543">
        <f t="shared" si="35"/>
        <v>261831.3209145974</v>
      </c>
      <c r="J131" s="479">
        <f t="shared" ref="J131:J154" si="39">+I131-H131</f>
        <v>0</v>
      </c>
      <c r="K131" s="479"/>
      <c r="L131" s="488"/>
      <c r="M131" s="479">
        <f t="shared" ref="M131:M154" si="40">IF(L131&lt;&gt;0,+H131-L131,0)</f>
        <v>0</v>
      </c>
      <c r="N131" s="488"/>
      <c r="O131" s="479">
        <f t="shared" ref="O131:O154" si="41">IF(N131&lt;&gt;0,+I131-N131,0)</f>
        <v>0</v>
      </c>
      <c r="P131" s="479">
        <f t="shared" ref="P131:P154" si="42">+O131-M131</f>
        <v>0</v>
      </c>
    </row>
    <row r="132" spans="2:16" ht="12.5">
      <c r="B132" s="160" t="str">
        <f t="shared" si="29"/>
        <v/>
      </c>
      <c r="C132" s="473">
        <f>IF(D93="","-",+C131+1)</f>
        <v>2042</v>
      </c>
      <c r="D132" s="347">
        <f>IF(F131+SUM(E$99:E131)=D$92,F131,D$92-SUM(E$99:E131))</f>
        <v>1270638.1399999997</v>
      </c>
      <c r="E132" s="487">
        <f>IF(+J96&lt;F131,J96,D132)</f>
        <v>109044</v>
      </c>
      <c r="F132" s="486">
        <f t="shared" si="37"/>
        <v>1161594.1399999997</v>
      </c>
      <c r="G132" s="486">
        <f t="shared" si="38"/>
        <v>1216116.1399999997</v>
      </c>
      <c r="H132" s="487">
        <f t="shared" si="36"/>
        <v>249258.84750635605</v>
      </c>
      <c r="I132" s="543">
        <f t="shared" si="35"/>
        <v>249258.84750635605</v>
      </c>
      <c r="J132" s="479">
        <f t="shared" si="39"/>
        <v>0</v>
      </c>
      <c r="K132" s="479"/>
      <c r="L132" s="488"/>
      <c r="M132" s="479">
        <f t="shared" si="40"/>
        <v>0</v>
      </c>
      <c r="N132" s="488"/>
      <c r="O132" s="479">
        <f t="shared" si="41"/>
        <v>0</v>
      </c>
      <c r="P132" s="479">
        <f t="shared" si="42"/>
        <v>0</v>
      </c>
    </row>
    <row r="133" spans="2:16" ht="12.5">
      <c r="B133" s="160" t="str">
        <f t="shared" si="29"/>
        <v/>
      </c>
      <c r="C133" s="473">
        <f>IF(D93="","-",+C132+1)</f>
        <v>2043</v>
      </c>
      <c r="D133" s="347">
        <f>IF(F132+SUM(E$99:E132)=D$92,F132,D$92-SUM(E$99:E132))</f>
        <v>1161594.1399999997</v>
      </c>
      <c r="E133" s="487">
        <f>IF(+J96&lt;F132,J96,D133)</f>
        <v>109044</v>
      </c>
      <c r="F133" s="486">
        <f t="shared" si="37"/>
        <v>1052550.1399999997</v>
      </c>
      <c r="G133" s="486">
        <f t="shared" si="38"/>
        <v>1107072.1399999997</v>
      </c>
      <c r="H133" s="487">
        <f t="shared" si="36"/>
        <v>236686.37409811473</v>
      </c>
      <c r="I133" s="543">
        <f t="shared" si="35"/>
        <v>236686.37409811473</v>
      </c>
      <c r="J133" s="479">
        <f t="shared" si="39"/>
        <v>0</v>
      </c>
      <c r="K133" s="479"/>
      <c r="L133" s="488"/>
      <c r="M133" s="479">
        <f t="shared" si="40"/>
        <v>0</v>
      </c>
      <c r="N133" s="488"/>
      <c r="O133" s="479">
        <f t="shared" si="41"/>
        <v>0</v>
      </c>
      <c r="P133" s="479">
        <f t="shared" si="42"/>
        <v>0</v>
      </c>
    </row>
    <row r="134" spans="2:16" ht="12.5">
      <c r="B134" s="160" t="str">
        <f t="shared" si="29"/>
        <v/>
      </c>
      <c r="C134" s="473">
        <f>IF(D93="","-",+C133+1)</f>
        <v>2044</v>
      </c>
      <c r="D134" s="347">
        <f>IF(F133+SUM(E$99:E133)=D$92,F133,D$92-SUM(E$99:E133))</f>
        <v>1052550.1399999997</v>
      </c>
      <c r="E134" s="487">
        <f>IF(+J96&lt;F133,J96,D134)</f>
        <v>109044</v>
      </c>
      <c r="F134" s="486">
        <f t="shared" si="37"/>
        <v>943506.13999999966</v>
      </c>
      <c r="G134" s="486">
        <f t="shared" si="38"/>
        <v>998028.13999999966</v>
      </c>
      <c r="H134" s="487">
        <f t="shared" si="36"/>
        <v>224113.90068987338</v>
      </c>
      <c r="I134" s="543">
        <f t="shared" si="35"/>
        <v>224113.90068987338</v>
      </c>
      <c r="J134" s="479">
        <f t="shared" si="39"/>
        <v>0</v>
      </c>
      <c r="K134" s="479"/>
      <c r="L134" s="488"/>
      <c r="M134" s="479">
        <f t="shared" si="40"/>
        <v>0</v>
      </c>
      <c r="N134" s="488"/>
      <c r="O134" s="479">
        <f t="shared" si="41"/>
        <v>0</v>
      </c>
      <c r="P134" s="479">
        <f t="shared" si="42"/>
        <v>0</v>
      </c>
    </row>
    <row r="135" spans="2:16" ht="12.5">
      <c r="B135" s="160" t="str">
        <f t="shared" si="29"/>
        <v/>
      </c>
      <c r="C135" s="473">
        <f>IF(D93="","-",+C134+1)</f>
        <v>2045</v>
      </c>
      <c r="D135" s="347">
        <f>IF(F134+SUM(E$99:E134)=D$92,F134,D$92-SUM(E$99:E134))</f>
        <v>943506.13999999966</v>
      </c>
      <c r="E135" s="487">
        <f>IF(+J96&lt;F134,J96,D135)</f>
        <v>109044</v>
      </c>
      <c r="F135" s="486">
        <f t="shared" si="37"/>
        <v>834462.13999999966</v>
      </c>
      <c r="G135" s="486">
        <f t="shared" si="38"/>
        <v>888984.13999999966</v>
      </c>
      <c r="H135" s="487">
        <f t="shared" si="36"/>
        <v>211541.42728163206</v>
      </c>
      <c r="I135" s="543">
        <f t="shared" si="35"/>
        <v>211541.42728163206</v>
      </c>
      <c r="J135" s="479">
        <f t="shared" si="39"/>
        <v>0</v>
      </c>
      <c r="K135" s="479"/>
      <c r="L135" s="488"/>
      <c r="M135" s="479">
        <f t="shared" si="40"/>
        <v>0</v>
      </c>
      <c r="N135" s="488"/>
      <c r="O135" s="479">
        <f t="shared" si="41"/>
        <v>0</v>
      </c>
      <c r="P135" s="479">
        <f t="shared" si="42"/>
        <v>0</v>
      </c>
    </row>
    <row r="136" spans="2:16" ht="12.5">
      <c r="B136" s="160" t="str">
        <f t="shared" si="29"/>
        <v/>
      </c>
      <c r="C136" s="473">
        <f>IF(D93="","-",+C135+1)</f>
        <v>2046</v>
      </c>
      <c r="D136" s="347">
        <f>IF(F135+SUM(E$99:E135)=D$92,F135,D$92-SUM(E$99:E135))</f>
        <v>834462.13999999966</v>
      </c>
      <c r="E136" s="487">
        <f>IF(+J96&lt;F135,J96,D136)</f>
        <v>109044</v>
      </c>
      <c r="F136" s="486">
        <f t="shared" si="37"/>
        <v>725418.13999999966</v>
      </c>
      <c r="G136" s="486">
        <f t="shared" si="38"/>
        <v>779940.13999999966</v>
      </c>
      <c r="H136" s="487">
        <f t="shared" si="36"/>
        <v>198968.95387339074</v>
      </c>
      <c r="I136" s="543">
        <f t="shared" si="35"/>
        <v>198968.95387339074</v>
      </c>
      <c r="J136" s="479">
        <f t="shared" si="39"/>
        <v>0</v>
      </c>
      <c r="K136" s="479"/>
      <c r="L136" s="488"/>
      <c r="M136" s="479">
        <f t="shared" si="40"/>
        <v>0</v>
      </c>
      <c r="N136" s="488"/>
      <c r="O136" s="479">
        <f t="shared" si="41"/>
        <v>0</v>
      </c>
      <c r="P136" s="479">
        <f t="shared" si="42"/>
        <v>0</v>
      </c>
    </row>
    <row r="137" spans="2:16" ht="12.5">
      <c r="B137" s="160" t="str">
        <f t="shared" si="29"/>
        <v/>
      </c>
      <c r="C137" s="473">
        <f>IF(D93="","-",+C136+1)</f>
        <v>2047</v>
      </c>
      <c r="D137" s="347">
        <f>IF(F136+SUM(E$99:E136)=D$92,F136,D$92-SUM(E$99:E136))</f>
        <v>725418.13999999966</v>
      </c>
      <c r="E137" s="487">
        <f>IF(+J96&lt;F136,J96,D137)</f>
        <v>109044</v>
      </c>
      <c r="F137" s="486">
        <f t="shared" si="37"/>
        <v>616374.13999999966</v>
      </c>
      <c r="G137" s="486">
        <f t="shared" si="38"/>
        <v>670896.13999999966</v>
      </c>
      <c r="H137" s="487">
        <f t="shared" si="36"/>
        <v>186396.48046514939</v>
      </c>
      <c r="I137" s="543">
        <f t="shared" si="35"/>
        <v>186396.48046514939</v>
      </c>
      <c r="J137" s="479">
        <f t="shared" si="39"/>
        <v>0</v>
      </c>
      <c r="K137" s="479"/>
      <c r="L137" s="488"/>
      <c r="M137" s="479">
        <f t="shared" si="40"/>
        <v>0</v>
      </c>
      <c r="N137" s="488"/>
      <c r="O137" s="479">
        <f t="shared" si="41"/>
        <v>0</v>
      </c>
      <c r="P137" s="479">
        <f t="shared" si="42"/>
        <v>0</v>
      </c>
    </row>
    <row r="138" spans="2:16" ht="12.5">
      <c r="B138" s="160" t="str">
        <f t="shared" si="29"/>
        <v/>
      </c>
      <c r="C138" s="473">
        <f>IF(D93="","-",+C137+1)</f>
        <v>2048</v>
      </c>
      <c r="D138" s="347">
        <f>IF(F137+SUM(E$99:E137)=D$92,F137,D$92-SUM(E$99:E137))</f>
        <v>616374.13999999966</v>
      </c>
      <c r="E138" s="487">
        <f>IF(+J96&lt;F137,J96,D138)</f>
        <v>109044</v>
      </c>
      <c r="F138" s="486">
        <f t="shared" si="37"/>
        <v>507330.13999999966</v>
      </c>
      <c r="G138" s="486">
        <f t="shared" si="38"/>
        <v>561852.13999999966</v>
      </c>
      <c r="H138" s="487">
        <f t="shared" si="36"/>
        <v>173824.00705690804</v>
      </c>
      <c r="I138" s="543">
        <f t="shared" si="35"/>
        <v>173824.00705690804</v>
      </c>
      <c r="J138" s="479">
        <f t="shared" si="39"/>
        <v>0</v>
      </c>
      <c r="K138" s="479"/>
      <c r="L138" s="488"/>
      <c r="M138" s="479">
        <f t="shared" si="40"/>
        <v>0</v>
      </c>
      <c r="N138" s="488"/>
      <c r="O138" s="479">
        <f t="shared" si="41"/>
        <v>0</v>
      </c>
      <c r="P138" s="479">
        <f t="shared" si="42"/>
        <v>0</v>
      </c>
    </row>
    <row r="139" spans="2:16" ht="12.5">
      <c r="B139" s="160" t="str">
        <f t="shared" si="29"/>
        <v/>
      </c>
      <c r="C139" s="473">
        <f>IF(D93="","-",+C138+1)</f>
        <v>2049</v>
      </c>
      <c r="D139" s="347">
        <f>IF(F138+SUM(E$99:E138)=D$92,F138,D$92-SUM(E$99:E138))</f>
        <v>507330.13999999966</v>
      </c>
      <c r="E139" s="487">
        <f>IF(+J96&lt;F138,J96,D139)</f>
        <v>109044</v>
      </c>
      <c r="F139" s="486">
        <f t="shared" si="37"/>
        <v>398286.13999999966</v>
      </c>
      <c r="G139" s="486">
        <f t="shared" si="38"/>
        <v>452808.13999999966</v>
      </c>
      <c r="H139" s="487">
        <f t="shared" si="36"/>
        <v>161251.53364866672</v>
      </c>
      <c r="I139" s="543">
        <f t="shared" si="35"/>
        <v>161251.53364866672</v>
      </c>
      <c r="J139" s="479">
        <f t="shared" si="39"/>
        <v>0</v>
      </c>
      <c r="K139" s="479"/>
      <c r="L139" s="488"/>
      <c r="M139" s="479">
        <f t="shared" si="40"/>
        <v>0</v>
      </c>
      <c r="N139" s="488"/>
      <c r="O139" s="479">
        <f t="shared" si="41"/>
        <v>0</v>
      </c>
      <c r="P139" s="479">
        <f t="shared" si="42"/>
        <v>0</v>
      </c>
    </row>
    <row r="140" spans="2:16" ht="12.5">
      <c r="B140" s="160" t="str">
        <f t="shared" si="29"/>
        <v/>
      </c>
      <c r="C140" s="473">
        <f>IF(D93="","-",+C139+1)</f>
        <v>2050</v>
      </c>
      <c r="D140" s="347">
        <f>IF(F139+SUM(E$99:E139)=D$92,F139,D$92-SUM(E$99:E139))</f>
        <v>398286.13999999966</v>
      </c>
      <c r="E140" s="487">
        <f>IF(+J96&lt;F139,J96,D140)</f>
        <v>109044</v>
      </c>
      <c r="F140" s="486">
        <f t="shared" si="37"/>
        <v>289242.13999999966</v>
      </c>
      <c r="G140" s="486">
        <f t="shared" si="38"/>
        <v>343764.13999999966</v>
      </c>
      <c r="H140" s="487">
        <f t="shared" si="36"/>
        <v>148679.0602404254</v>
      </c>
      <c r="I140" s="543">
        <f t="shared" si="35"/>
        <v>148679.0602404254</v>
      </c>
      <c r="J140" s="479">
        <f t="shared" si="39"/>
        <v>0</v>
      </c>
      <c r="K140" s="479"/>
      <c r="L140" s="488"/>
      <c r="M140" s="479">
        <f t="shared" si="40"/>
        <v>0</v>
      </c>
      <c r="N140" s="488"/>
      <c r="O140" s="479">
        <f t="shared" si="41"/>
        <v>0</v>
      </c>
      <c r="P140" s="479">
        <f t="shared" si="42"/>
        <v>0</v>
      </c>
    </row>
    <row r="141" spans="2:16" ht="12.5">
      <c r="B141" s="160" t="str">
        <f t="shared" si="29"/>
        <v/>
      </c>
      <c r="C141" s="473">
        <f>IF(D93="","-",+C140+1)</f>
        <v>2051</v>
      </c>
      <c r="D141" s="347">
        <f>IF(F140+SUM(E$99:E140)=D$92,F140,D$92-SUM(E$99:E140))</f>
        <v>289242.13999999966</v>
      </c>
      <c r="E141" s="487">
        <f>IF(+J96&lt;F140,J96,D141)</f>
        <v>109044</v>
      </c>
      <c r="F141" s="486">
        <f t="shared" si="37"/>
        <v>180198.13999999966</v>
      </c>
      <c r="G141" s="486">
        <f t="shared" si="38"/>
        <v>234720.13999999966</v>
      </c>
      <c r="H141" s="487">
        <f t="shared" si="36"/>
        <v>136106.58683218405</v>
      </c>
      <c r="I141" s="543">
        <f t="shared" si="35"/>
        <v>136106.58683218405</v>
      </c>
      <c r="J141" s="479">
        <f t="shared" si="39"/>
        <v>0</v>
      </c>
      <c r="K141" s="479"/>
      <c r="L141" s="488"/>
      <c r="M141" s="479">
        <f t="shared" si="40"/>
        <v>0</v>
      </c>
      <c r="N141" s="488"/>
      <c r="O141" s="479">
        <f t="shared" si="41"/>
        <v>0</v>
      </c>
      <c r="P141" s="479">
        <f t="shared" si="42"/>
        <v>0</v>
      </c>
    </row>
    <row r="142" spans="2:16" ht="12.5">
      <c r="B142" s="160" t="str">
        <f t="shared" si="29"/>
        <v/>
      </c>
      <c r="C142" s="473">
        <f>IF(D93="","-",+C141+1)</f>
        <v>2052</v>
      </c>
      <c r="D142" s="347">
        <f>IF(F141+SUM(E$99:E141)=D$92,F141,D$92-SUM(E$99:E141))</f>
        <v>180198.13999999966</v>
      </c>
      <c r="E142" s="487">
        <f>IF(+J96&lt;F141,J96,D142)</f>
        <v>109044</v>
      </c>
      <c r="F142" s="486">
        <f t="shared" si="37"/>
        <v>71154.139999999665</v>
      </c>
      <c r="G142" s="486">
        <f t="shared" si="38"/>
        <v>125676.13999999966</v>
      </c>
      <c r="H142" s="487">
        <f t="shared" si="36"/>
        <v>123534.11342394273</v>
      </c>
      <c r="I142" s="543">
        <f t="shared" si="35"/>
        <v>123534.11342394273</v>
      </c>
      <c r="J142" s="479">
        <f t="shared" si="39"/>
        <v>0</v>
      </c>
      <c r="K142" s="479"/>
      <c r="L142" s="488"/>
      <c r="M142" s="479">
        <f t="shared" si="40"/>
        <v>0</v>
      </c>
      <c r="N142" s="488"/>
      <c r="O142" s="479">
        <f t="shared" si="41"/>
        <v>0</v>
      </c>
      <c r="P142" s="479">
        <f t="shared" si="42"/>
        <v>0</v>
      </c>
    </row>
    <row r="143" spans="2:16" ht="12.5">
      <c r="B143" s="160" t="str">
        <f t="shared" si="29"/>
        <v/>
      </c>
      <c r="C143" s="473">
        <f>IF(D93="","-",+C142+1)</f>
        <v>2053</v>
      </c>
      <c r="D143" s="347">
        <f>IF(F142+SUM(E$99:E142)=D$92,F142,D$92-SUM(E$99:E142))</f>
        <v>71154.139999999665</v>
      </c>
      <c r="E143" s="487">
        <f>IF(+J96&lt;F142,J96,D143)</f>
        <v>71154.139999999665</v>
      </c>
      <c r="F143" s="486">
        <f t="shared" si="37"/>
        <v>0</v>
      </c>
      <c r="G143" s="486">
        <f t="shared" si="38"/>
        <v>35577.069999999832</v>
      </c>
      <c r="H143" s="487">
        <f t="shared" si="36"/>
        <v>75256.078359910694</v>
      </c>
      <c r="I143" s="543">
        <f t="shared" si="35"/>
        <v>75256.078359910694</v>
      </c>
      <c r="J143" s="479">
        <f t="shared" si="39"/>
        <v>0</v>
      </c>
      <c r="K143" s="479"/>
      <c r="L143" s="488"/>
      <c r="M143" s="479">
        <f t="shared" si="40"/>
        <v>0</v>
      </c>
      <c r="N143" s="488"/>
      <c r="O143" s="479">
        <f t="shared" si="41"/>
        <v>0</v>
      </c>
      <c r="P143" s="479">
        <f t="shared" si="42"/>
        <v>0</v>
      </c>
    </row>
    <row r="144" spans="2:16" ht="12.5">
      <c r="B144" s="160" t="str">
        <f t="shared" si="29"/>
        <v/>
      </c>
      <c r="C144" s="473">
        <f>IF(D93="","-",+C143+1)</f>
        <v>2054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7"/>
        <v>0</v>
      </c>
      <c r="G144" s="486">
        <f t="shared" si="38"/>
        <v>0</v>
      </c>
      <c r="H144" s="487">
        <f t="shared" si="36"/>
        <v>0</v>
      </c>
      <c r="I144" s="543">
        <f t="shared" si="35"/>
        <v>0</v>
      </c>
      <c r="J144" s="479">
        <f t="shared" si="39"/>
        <v>0</v>
      </c>
      <c r="K144" s="479"/>
      <c r="L144" s="488"/>
      <c r="M144" s="479">
        <f t="shared" si="40"/>
        <v>0</v>
      </c>
      <c r="N144" s="488"/>
      <c r="O144" s="479">
        <f t="shared" si="41"/>
        <v>0</v>
      </c>
      <c r="P144" s="479">
        <f t="shared" si="42"/>
        <v>0</v>
      </c>
    </row>
    <row r="145" spans="2:16" ht="12.5">
      <c r="B145" s="160" t="str">
        <f t="shared" si="29"/>
        <v/>
      </c>
      <c r="C145" s="473">
        <f>IF(D93="","-",+C144+1)</f>
        <v>2055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7"/>
        <v>0</v>
      </c>
      <c r="G145" s="486">
        <f t="shared" si="38"/>
        <v>0</v>
      </c>
      <c r="H145" s="487">
        <f t="shared" si="36"/>
        <v>0</v>
      </c>
      <c r="I145" s="543">
        <f t="shared" si="35"/>
        <v>0</v>
      </c>
      <c r="J145" s="479">
        <f t="shared" si="39"/>
        <v>0</v>
      </c>
      <c r="K145" s="479"/>
      <c r="L145" s="488"/>
      <c r="M145" s="479">
        <f t="shared" si="40"/>
        <v>0</v>
      </c>
      <c r="N145" s="488"/>
      <c r="O145" s="479">
        <f t="shared" si="41"/>
        <v>0</v>
      </c>
      <c r="P145" s="479">
        <f t="shared" si="42"/>
        <v>0</v>
      </c>
    </row>
    <row r="146" spans="2:16" ht="12.5">
      <c r="B146" s="160" t="str">
        <f t="shared" si="29"/>
        <v/>
      </c>
      <c r="C146" s="473">
        <f>IF(D93="","-",+C145+1)</f>
        <v>2056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7"/>
        <v>0</v>
      </c>
      <c r="G146" s="486">
        <f t="shared" si="38"/>
        <v>0</v>
      </c>
      <c r="H146" s="487">
        <f t="shared" si="36"/>
        <v>0</v>
      </c>
      <c r="I146" s="543">
        <f t="shared" si="35"/>
        <v>0</v>
      </c>
      <c r="J146" s="479">
        <f t="shared" si="39"/>
        <v>0</v>
      </c>
      <c r="K146" s="479"/>
      <c r="L146" s="488"/>
      <c r="M146" s="479">
        <f t="shared" si="40"/>
        <v>0</v>
      </c>
      <c r="N146" s="488"/>
      <c r="O146" s="479">
        <f t="shared" si="41"/>
        <v>0</v>
      </c>
      <c r="P146" s="479">
        <f t="shared" si="42"/>
        <v>0</v>
      </c>
    </row>
    <row r="147" spans="2:16" ht="12.5">
      <c r="B147" s="160" t="str">
        <f t="shared" si="29"/>
        <v/>
      </c>
      <c r="C147" s="473">
        <f>IF(D93="","-",+C146+1)</f>
        <v>2057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7"/>
        <v>0</v>
      </c>
      <c r="G147" s="486">
        <f t="shared" si="38"/>
        <v>0</v>
      </c>
      <c r="H147" s="487">
        <f t="shared" si="36"/>
        <v>0</v>
      </c>
      <c r="I147" s="543">
        <f t="shared" si="35"/>
        <v>0</v>
      </c>
      <c r="J147" s="479">
        <f t="shared" si="39"/>
        <v>0</v>
      </c>
      <c r="K147" s="479"/>
      <c r="L147" s="488"/>
      <c r="M147" s="479">
        <f t="shared" si="40"/>
        <v>0</v>
      </c>
      <c r="N147" s="488"/>
      <c r="O147" s="479">
        <f t="shared" si="41"/>
        <v>0</v>
      </c>
      <c r="P147" s="479">
        <f t="shared" si="42"/>
        <v>0</v>
      </c>
    </row>
    <row r="148" spans="2:16" ht="12.5">
      <c r="B148" s="160" t="str">
        <f t="shared" si="29"/>
        <v/>
      </c>
      <c r="C148" s="473">
        <f>IF(D93="","-",+C147+1)</f>
        <v>2058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7"/>
        <v>0</v>
      </c>
      <c r="G148" s="486">
        <f t="shared" si="38"/>
        <v>0</v>
      </c>
      <c r="H148" s="487">
        <f t="shared" si="36"/>
        <v>0</v>
      </c>
      <c r="I148" s="543">
        <f t="shared" si="35"/>
        <v>0</v>
      </c>
      <c r="J148" s="479">
        <f t="shared" si="39"/>
        <v>0</v>
      </c>
      <c r="K148" s="479"/>
      <c r="L148" s="488"/>
      <c r="M148" s="479">
        <f t="shared" si="40"/>
        <v>0</v>
      </c>
      <c r="N148" s="488"/>
      <c r="O148" s="479">
        <f t="shared" si="41"/>
        <v>0</v>
      </c>
      <c r="P148" s="479">
        <f t="shared" si="42"/>
        <v>0</v>
      </c>
    </row>
    <row r="149" spans="2:16" ht="12.5">
      <c r="B149" s="160" t="str">
        <f t="shared" si="29"/>
        <v/>
      </c>
      <c r="C149" s="473">
        <f>IF(D93="","-",+C148+1)</f>
        <v>2059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7"/>
        <v>0</v>
      </c>
      <c r="G149" s="486">
        <f t="shared" si="38"/>
        <v>0</v>
      </c>
      <c r="H149" s="487">
        <f t="shared" si="36"/>
        <v>0</v>
      </c>
      <c r="I149" s="543">
        <f t="shared" si="35"/>
        <v>0</v>
      </c>
      <c r="J149" s="479">
        <f t="shared" si="39"/>
        <v>0</v>
      </c>
      <c r="K149" s="479"/>
      <c r="L149" s="488"/>
      <c r="M149" s="479">
        <f t="shared" si="40"/>
        <v>0</v>
      </c>
      <c r="N149" s="488"/>
      <c r="O149" s="479">
        <f t="shared" si="41"/>
        <v>0</v>
      </c>
      <c r="P149" s="479">
        <f t="shared" si="42"/>
        <v>0</v>
      </c>
    </row>
    <row r="150" spans="2:16" ht="12.5">
      <c r="B150" s="160" t="str">
        <f t="shared" si="29"/>
        <v/>
      </c>
      <c r="C150" s="473">
        <f>IF(D93="","-",+C149+1)</f>
        <v>2060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7"/>
        <v>0</v>
      </c>
      <c r="G150" s="486">
        <f t="shared" si="38"/>
        <v>0</v>
      </c>
      <c r="H150" s="487">
        <f t="shared" si="36"/>
        <v>0</v>
      </c>
      <c r="I150" s="543">
        <f t="shared" si="35"/>
        <v>0</v>
      </c>
      <c r="J150" s="479">
        <f t="shared" si="39"/>
        <v>0</v>
      </c>
      <c r="K150" s="479"/>
      <c r="L150" s="488"/>
      <c r="M150" s="479">
        <f t="shared" si="40"/>
        <v>0</v>
      </c>
      <c r="N150" s="488"/>
      <c r="O150" s="479">
        <f t="shared" si="41"/>
        <v>0</v>
      </c>
      <c r="P150" s="479">
        <f t="shared" si="42"/>
        <v>0</v>
      </c>
    </row>
    <row r="151" spans="2:16" ht="12.5">
      <c r="B151" s="160" t="str">
        <f t="shared" si="29"/>
        <v/>
      </c>
      <c r="C151" s="473">
        <f>IF(D93="","-",+C150+1)</f>
        <v>2061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7"/>
        <v>0</v>
      </c>
      <c r="G151" s="486">
        <f t="shared" si="38"/>
        <v>0</v>
      </c>
      <c r="H151" s="487">
        <f t="shared" si="36"/>
        <v>0</v>
      </c>
      <c r="I151" s="543">
        <f t="shared" si="35"/>
        <v>0</v>
      </c>
      <c r="J151" s="479">
        <f t="shared" si="39"/>
        <v>0</v>
      </c>
      <c r="K151" s="479"/>
      <c r="L151" s="488"/>
      <c r="M151" s="479">
        <f t="shared" si="40"/>
        <v>0</v>
      </c>
      <c r="N151" s="488"/>
      <c r="O151" s="479">
        <f t="shared" si="41"/>
        <v>0</v>
      </c>
      <c r="P151" s="479">
        <f t="shared" si="42"/>
        <v>0</v>
      </c>
    </row>
    <row r="152" spans="2:16" ht="12.5">
      <c r="B152" s="160" t="str">
        <f t="shared" si="29"/>
        <v/>
      </c>
      <c r="C152" s="473">
        <f>IF(D93="","-",+C151+1)</f>
        <v>2062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7"/>
        <v>0</v>
      </c>
      <c r="G152" s="486">
        <f t="shared" si="38"/>
        <v>0</v>
      </c>
      <c r="H152" s="487">
        <f t="shared" si="36"/>
        <v>0</v>
      </c>
      <c r="I152" s="543">
        <f t="shared" si="35"/>
        <v>0</v>
      </c>
      <c r="J152" s="479">
        <f t="shared" si="39"/>
        <v>0</v>
      </c>
      <c r="K152" s="479"/>
      <c r="L152" s="488"/>
      <c r="M152" s="479">
        <f t="shared" si="40"/>
        <v>0</v>
      </c>
      <c r="N152" s="488"/>
      <c r="O152" s="479">
        <f t="shared" si="41"/>
        <v>0</v>
      </c>
      <c r="P152" s="479">
        <f t="shared" si="42"/>
        <v>0</v>
      </c>
    </row>
    <row r="153" spans="2:16" ht="12.5">
      <c r="B153" s="160" t="str">
        <f t="shared" si="29"/>
        <v/>
      </c>
      <c r="C153" s="473">
        <f>IF(D93="","-",+C152+1)</f>
        <v>2063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7"/>
        <v>0</v>
      </c>
      <c r="G153" s="486">
        <f t="shared" si="38"/>
        <v>0</v>
      </c>
      <c r="H153" s="487">
        <f t="shared" si="36"/>
        <v>0</v>
      </c>
      <c r="I153" s="543">
        <f t="shared" si="35"/>
        <v>0</v>
      </c>
      <c r="J153" s="479">
        <f t="shared" si="39"/>
        <v>0</v>
      </c>
      <c r="K153" s="479"/>
      <c r="L153" s="488"/>
      <c r="M153" s="479">
        <f t="shared" si="40"/>
        <v>0</v>
      </c>
      <c r="N153" s="488"/>
      <c r="O153" s="479">
        <f t="shared" si="41"/>
        <v>0</v>
      </c>
      <c r="P153" s="479">
        <f t="shared" si="42"/>
        <v>0</v>
      </c>
    </row>
    <row r="154" spans="2:16" ht="13" thickBot="1">
      <c r="B154" s="160" t="str">
        <f t="shared" si="29"/>
        <v/>
      </c>
      <c r="C154" s="490">
        <f>IF(D93="","-",+C153+1)</f>
        <v>2064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7"/>
        <v>0</v>
      </c>
      <c r="G154" s="491">
        <f t="shared" si="38"/>
        <v>0</v>
      </c>
      <c r="H154" s="491">
        <f t="shared" si="36"/>
        <v>0</v>
      </c>
      <c r="I154" s="546">
        <f t="shared" si="35"/>
        <v>0</v>
      </c>
      <c r="J154" s="496">
        <f t="shared" si="39"/>
        <v>0</v>
      </c>
      <c r="K154" s="479"/>
      <c r="L154" s="495"/>
      <c r="M154" s="496">
        <f t="shared" si="40"/>
        <v>0</v>
      </c>
      <c r="N154" s="495"/>
      <c r="O154" s="496">
        <f t="shared" si="41"/>
        <v>0</v>
      </c>
      <c r="P154" s="496">
        <f t="shared" si="42"/>
        <v>0</v>
      </c>
    </row>
    <row r="155" spans="2:16" ht="12.5">
      <c r="C155" s="347" t="s">
        <v>77</v>
      </c>
      <c r="D155" s="348"/>
      <c r="E155" s="348">
        <f>SUM(E99:E154)</f>
        <v>4688896.1399999997</v>
      </c>
      <c r="F155" s="348"/>
      <c r="G155" s="348"/>
      <c r="H155" s="348">
        <f>SUM(H99:H154)</f>
        <v>17737141.200066514</v>
      </c>
      <c r="I155" s="348">
        <f>SUM(I99:I154)</f>
        <v>17737141.200066514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2.5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97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P162"/>
  <sheetViews>
    <sheetView view="pageBreakPreview" topLeftCell="B95" zoomScale="75" zoomScaleNormal="100" zoomScaleSheetLayoutView="75" workbookViewId="0">
      <selection activeCell="I110" sqref="I110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3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1231446.9312681679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1231446.9312681679</v>
      </c>
      <c r="O6" s="233"/>
      <c r="P6" s="233"/>
    </row>
    <row r="7" spans="1:16" ht="13.5" thickBot="1">
      <c r="C7" s="432" t="s">
        <v>46</v>
      </c>
      <c r="D7" s="433" t="s">
        <v>208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81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11456065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2009</v>
      </c>
      <c r="E11" s="451" t="s">
        <v>54</v>
      </c>
      <c r="F11" s="449"/>
      <c r="G11" s="195"/>
      <c r="H11" s="195"/>
      <c r="I11" s="453"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10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266420.11627906974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C17" s="473">
        <f>IF(D11= "","-",D11)</f>
        <v>2009</v>
      </c>
      <c r="D17" s="474">
        <v>9403820</v>
      </c>
      <c r="E17" s="475">
        <v>29572</v>
      </c>
      <c r="F17" s="474">
        <v>9374248</v>
      </c>
      <c r="G17" s="475">
        <v>388620</v>
      </c>
      <c r="H17" s="475">
        <v>388620</v>
      </c>
      <c r="I17" s="476">
        <f t="shared" ref="I17:I48" si="0">H17-G17</f>
        <v>0</v>
      </c>
      <c r="J17" s="476"/>
      <c r="K17" s="477">
        <v>388620</v>
      </c>
      <c r="L17" s="478">
        <f t="shared" ref="L17:L48" si="1">IF(K17&lt;&gt;0,+G17-K17,0)</f>
        <v>0</v>
      </c>
      <c r="M17" s="477">
        <v>388620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2010</v>
      </c>
      <c r="D18" s="480">
        <v>12236959</v>
      </c>
      <c r="E18" s="481">
        <v>219045</v>
      </c>
      <c r="F18" s="480">
        <v>12017913</v>
      </c>
      <c r="G18" s="481">
        <v>1953188</v>
      </c>
      <c r="H18" s="482">
        <v>1953188</v>
      </c>
      <c r="I18" s="476">
        <f t="shared" si="0"/>
        <v>0</v>
      </c>
      <c r="J18" s="476"/>
      <c r="K18" s="477">
        <f t="shared" ref="K18:K23" si="4">G18</f>
        <v>1953188</v>
      </c>
      <c r="L18" s="551">
        <f t="shared" si="1"/>
        <v>0</v>
      </c>
      <c r="M18" s="477">
        <f t="shared" ref="M18:M23" si="5">H18</f>
        <v>1953188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2011</v>
      </c>
      <c r="D19" s="480">
        <v>11983531</v>
      </c>
      <c r="E19" s="481">
        <v>239846.03921568627</v>
      </c>
      <c r="F19" s="480">
        <v>11743684.960784314</v>
      </c>
      <c r="G19" s="481">
        <v>2078241.729976739</v>
      </c>
      <c r="H19" s="482">
        <v>2078241.729976739</v>
      </c>
      <c r="I19" s="476">
        <f t="shared" si="0"/>
        <v>0</v>
      </c>
      <c r="J19" s="476"/>
      <c r="K19" s="477">
        <f t="shared" si="4"/>
        <v>2078241.729976739</v>
      </c>
      <c r="L19" s="551">
        <f t="shared" si="1"/>
        <v>0</v>
      </c>
      <c r="M19" s="477">
        <f t="shared" si="5"/>
        <v>2078241.729976739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/>
      </c>
      <c r="C20" s="473">
        <f>IF(D11="","-",+C19+1)</f>
        <v>2012</v>
      </c>
      <c r="D20" s="480">
        <v>11743684.960784314</v>
      </c>
      <c r="E20" s="481">
        <v>235233.61538461538</v>
      </c>
      <c r="F20" s="480">
        <v>11508451.345399698</v>
      </c>
      <c r="G20" s="481">
        <v>1837287.5395832672</v>
      </c>
      <c r="H20" s="482">
        <v>1837287.5395832672</v>
      </c>
      <c r="I20" s="476">
        <f t="shared" si="0"/>
        <v>0</v>
      </c>
      <c r="J20" s="476"/>
      <c r="K20" s="477">
        <f t="shared" si="4"/>
        <v>1837287.5395832672</v>
      </c>
      <c r="L20" s="551">
        <f t="shared" si="1"/>
        <v>0</v>
      </c>
      <c r="M20" s="477">
        <f t="shared" si="5"/>
        <v>1837287.5395832672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73">
        <f>IF(D12="","-",+C20+1)</f>
        <v>2013</v>
      </c>
      <c r="D21" s="480">
        <v>11508451.345399698</v>
      </c>
      <c r="E21" s="481">
        <v>235233.61538461538</v>
      </c>
      <c r="F21" s="480">
        <v>11273217.730015082</v>
      </c>
      <c r="G21" s="481">
        <v>1845125.3182548014</v>
      </c>
      <c r="H21" s="482">
        <v>1845125.3182548014</v>
      </c>
      <c r="I21" s="476">
        <v>0</v>
      </c>
      <c r="J21" s="476"/>
      <c r="K21" s="477">
        <f t="shared" si="4"/>
        <v>1845125.3182548014</v>
      </c>
      <c r="L21" s="551">
        <f t="shared" ref="L21:L26" si="7">IF(K21&lt;&gt;0,+G21-K21,0)</f>
        <v>0</v>
      </c>
      <c r="M21" s="477">
        <f t="shared" si="5"/>
        <v>1845125.3182548014</v>
      </c>
      <c r="N21" s="479">
        <f t="shared" ref="N21:N26" si="8">IF(M21&lt;&gt;0,+H21-M21,0)</f>
        <v>0</v>
      </c>
      <c r="O21" s="479">
        <f t="shared" ref="O21:O26" si="9">+N21-L21</f>
        <v>0</v>
      </c>
      <c r="P21" s="243"/>
    </row>
    <row r="22" spans="2:16" ht="12.5">
      <c r="B22" s="160" t="str">
        <f t="shared" si="6"/>
        <v/>
      </c>
      <c r="C22" s="473">
        <f>IF(D11="","-",+C21+1)</f>
        <v>2014</v>
      </c>
      <c r="D22" s="480">
        <v>11273217.730015082</v>
      </c>
      <c r="E22" s="481">
        <v>235233.61538461538</v>
      </c>
      <c r="F22" s="480">
        <v>11037984.114630466</v>
      </c>
      <c r="G22" s="481">
        <v>1754708.9063952654</v>
      </c>
      <c r="H22" s="482">
        <v>1754708.9063952654</v>
      </c>
      <c r="I22" s="476">
        <v>0</v>
      </c>
      <c r="J22" s="476"/>
      <c r="K22" s="477">
        <f t="shared" si="4"/>
        <v>1754708.9063952654</v>
      </c>
      <c r="L22" s="551">
        <f t="shared" si="7"/>
        <v>0</v>
      </c>
      <c r="M22" s="477">
        <f t="shared" si="5"/>
        <v>1754708.9063952654</v>
      </c>
      <c r="N22" s="479">
        <f t="shared" si="8"/>
        <v>0</v>
      </c>
      <c r="O22" s="479">
        <f t="shared" si="9"/>
        <v>0</v>
      </c>
      <c r="P22" s="243"/>
    </row>
    <row r="23" spans="2:16" ht="12.5">
      <c r="B23" s="160" t="str">
        <f t="shared" si="6"/>
        <v>IU</v>
      </c>
      <c r="C23" s="473">
        <f>IF(D11="","-",+C22+1)</f>
        <v>2015</v>
      </c>
      <c r="D23" s="480">
        <v>10261901.114630468</v>
      </c>
      <c r="E23" s="481">
        <v>220308.94230769231</v>
      </c>
      <c r="F23" s="480">
        <v>10041592.172322776</v>
      </c>
      <c r="G23" s="481">
        <v>1604759.8916783908</v>
      </c>
      <c r="H23" s="482">
        <v>1604759.8916783908</v>
      </c>
      <c r="I23" s="476">
        <v>0</v>
      </c>
      <c r="J23" s="476"/>
      <c r="K23" s="477">
        <f t="shared" si="4"/>
        <v>1604759.8916783908</v>
      </c>
      <c r="L23" s="551">
        <f t="shared" si="7"/>
        <v>0</v>
      </c>
      <c r="M23" s="477">
        <f t="shared" si="5"/>
        <v>1604759.8916783908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2016</v>
      </c>
      <c r="D24" s="480">
        <v>10041592.172322776</v>
      </c>
      <c r="E24" s="481">
        <v>220308.94230769231</v>
      </c>
      <c r="F24" s="480">
        <v>9821283.2300150841</v>
      </c>
      <c r="G24" s="481">
        <v>1508464.8564289983</v>
      </c>
      <c r="H24" s="482">
        <v>1508464.8564289983</v>
      </c>
      <c r="I24" s="476">
        <f t="shared" si="0"/>
        <v>0</v>
      </c>
      <c r="J24" s="476"/>
      <c r="K24" s="477">
        <f>G24</f>
        <v>1508464.8564289983</v>
      </c>
      <c r="L24" s="551">
        <f t="shared" si="7"/>
        <v>0</v>
      </c>
      <c r="M24" s="477">
        <f>H24</f>
        <v>1508464.8564289983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2017</v>
      </c>
      <c r="D25" s="480">
        <v>9821283.2300150841</v>
      </c>
      <c r="E25" s="481">
        <v>249044.89130434784</v>
      </c>
      <c r="F25" s="480">
        <v>9572238.3387107365</v>
      </c>
      <c r="G25" s="481">
        <v>1467214.2093174371</v>
      </c>
      <c r="H25" s="482">
        <v>1467214.2093174371</v>
      </c>
      <c r="I25" s="476">
        <f t="shared" si="0"/>
        <v>0</v>
      </c>
      <c r="J25" s="476"/>
      <c r="K25" s="477">
        <f>G25</f>
        <v>1467214.2093174371</v>
      </c>
      <c r="L25" s="551">
        <f t="shared" si="7"/>
        <v>0</v>
      </c>
      <c r="M25" s="477">
        <f>H25</f>
        <v>1467214.2093174371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>IU</v>
      </c>
      <c r="C26" s="473">
        <f>IF(D11="","-",+C25+1)</f>
        <v>2018</v>
      </c>
      <c r="D26" s="480">
        <v>9545528</v>
      </c>
      <c r="E26" s="481">
        <v>266420</v>
      </c>
      <c r="F26" s="480">
        <v>9279108</v>
      </c>
      <c r="G26" s="481">
        <v>1282995.3057955368</v>
      </c>
      <c r="H26" s="482">
        <v>1282995.3057955368</v>
      </c>
      <c r="I26" s="476">
        <f t="shared" si="0"/>
        <v>0</v>
      </c>
      <c r="J26" s="476"/>
      <c r="K26" s="477">
        <f>G26</f>
        <v>1282995.3057955368</v>
      </c>
      <c r="L26" s="551">
        <f t="shared" si="7"/>
        <v>0</v>
      </c>
      <c r="M26" s="477">
        <f>H26</f>
        <v>1282995.3057955368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2019</v>
      </c>
      <c r="D27" s="480">
        <v>9279108</v>
      </c>
      <c r="E27" s="481">
        <v>266420</v>
      </c>
      <c r="F27" s="480">
        <v>9012688</v>
      </c>
      <c r="G27" s="481">
        <v>1254220.673131187</v>
      </c>
      <c r="H27" s="482">
        <v>1254220.673131187</v>
      </c>
      <c r="I27" s="476">
        <f t="shared" si="0"/>
        <v>0</v>
      </c>
      <c r="J27" s="476"/>
      <c r="K27" s="477">
        <f>G27</f>
        <v>1254220.673131187</v>
      </c>
      <c r="L27" s="551">
        <f t="shared" ref="L27" si="10">IF(K27&lt;&gt;0,+G27-K27,0)</f>
        <v>0</v>
      </c>
      <c r="M27" s="477">
        <f>H27</f>
        <v>1254220.673131187</v>
      </c>
      <c r="N27" s="479">
        <f t="shared" ref="N27" si="11">IF(M27&lt;&gt;0,+H27-M27,0)</f>
        <v>0</v>
      </c>
      <c r="O27" s="479">
        <f t="shared" ref="O27" si="12">+N27-L27</f>
        <v>0</v>
      </c>
      <c r="P27" s="243"/>
    </row>
    <row r="28" spans="2:16" ht="12.5">
      <c r="B28" s="160" t="str">
        <f t="shared" si="6"/>
        <v/>
      </c>
      <c r="C28" s="473">
        <f>IF(D11="","-",+C27+1)</f>
        <v>2020</v>
      </c>
      <c r="D28" s="486">
        <v>9012688</v>
      </c>
      <c r="E28" s="485">
        <v>272763.45238095237</v>
      </c>
      <c r="F28" s="486">
        <v>8739924.5476190485</v>
      </c>
      <c r="G28" s="487">
        <v>1231446.9312681679</v>
      </c>
      <c r="H28" s="456">
        <v>1231446.9312681679</v>
      </c>
      <c r="I28" s="476">
        <f t="shared" si="0"/>
        <v>0</v>
      </c>
      <c r="J28" s="476"/>
      <c r="K28" s="477">
        <f>G28</f>
        <v>1231446.9312681679</v>
      </c>
      <c r="L28" s="551">
        <f t="shared" ref="L28" si="13">IF(K28&lt;&gt;0,+G28-K28,0)</f>
        <v>0</v>
      </c>
      <c r="M28" s="477">
        <f>H28</f>
        <v>1231446.9312681679</v>
      </c>
      <c r="N28" s="479">
        <f t="shared" si="2"/>
        <v>0</v>
      </c>
      <c r="O28" s="479">
        <f t="shared" si="3"/>
        <v>0</v>
      </c>
      <c r="P28" s="243"/>
    </row>
    <row r="29" spans="2:16" ht="12.5">
      <c r="B29" s="160" t="str">
        <f t="shared" si="6"/>
        <v>IU</v>
      </c>
      <c r="C29" s="473">
        <f>IF(D11="","-",+C28+1)</f>
        <v>2021</v>
      </c>
      <c r="D29" s="486">
        <f>IF(F28+SUM(E$17:E28)=D$10,F28,D$10-SUM(E$17:E28))</f>
        <v>8766634.8863297831</v>
      </c>
      <c r="E29" s="485">
        <f>IF(+I14&lt;F28,I14,D29)</f>
        <v>266420.11627906974</v>
      </c>
      <c r="F29" s="486">
        <f t="shared" ref="F29:F72" si="14">+D29-E29</f>
        <v>8500214.7700507138</v>
      </c>
      <c r="G29" s="487">
        <f t="shared" ref="G29:G72" si="15">(D29+F29)/2*I$12+E29</f>
        <v>1259750.3377258705</v>
      </c>
      <c r="H29" s="456">
        <f t="shared" ref="H29:H72" si="16">+(D29+F29)/2*I$13+E29</f>
        <v>1259750.3377258705</v>
      </c>
      <c r="I29" s="476">
        <f t="shared" si="0"/>
        <v>0</v>
      </c>
      <c r="J29" s="476"/>
      <c r="K29" s="488"/>
      <c r="L29" s="479">
        <f t="shared" si="1"/>
        <v>0</v>
      </c>
      <c r="M29" s="488"/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2022</v>
      </c>
      <c r="D30" s="486">
        <f>IF(F29+SUM(E$17:E29)=D$10,F29,D$10-SUM(E$17:E29))</f>
        <v>8500214.7700507138</v>
      </c>
      <c r="E30" s="485">
        <f>IF(+I14&lt;F29,I14,D30)</f>
        <v>266420.11627906974</v>
      </c>
      <c r="F30" s="486">
        <f t="shared" si="14"/>
        <v>8233794.6537716445</v>
      </c>
      <c r="G30" s="487">
        <f t="shared" si="15"/>
        <v>1229097.0155081053</v>
      </c>
      <c r="H30" s="456">
        <f t="shared" si="16"/>
        <v>1229097.0155081053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2023</v>
      </c>
      <c r="D31" s="486">
        <f>IF(F30+SUM(E$17:E30)=D$10,F30,D$10-SUM(E$17:E30))</f>
        <v>8233794.6537716445</v>
      </c>
      <c r="E31" s="485">
        <f>IF(+I14&lt;F30,I14,D31)</f>
        <v>266420.11627906974</v>
      </c>
      <c r="F31" s="486">
        <f t="shared" si="14"/>
        <v>7967374.5374925751</v>
      </c>
      <c r="G31" s="487">
        <f t="shared" si="15"/>
        <v>1198443.69329034</v>
      </c>
      <c r="H31" s="456">
        <f t="shared" si="16"/>
        <v>1198443.69329034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2024</v>
      </c>
      <c r="D32" s="486">
        <f>IF(F31+SUM(E$17:E31)=D$10,F31,D$10-SUM(E$17:E31))</f>
        <v>7967374.5374925751</v>
      </c>
      <c r="E32" s="485">
        <f>IF(+I14&lt;F31,I14,D32)</f>
        <v>266420.11627906974</v>
      </c>
      <c r="F32" s="486">
        <f t="shared" si="14"/>
        <v>7700954.4212135058</v>
      </c>
      <c r="G32" s="487">
        <f t="shared" si="15"/>
        <v>1167790.3710725748</v>
      </c>
      <c r="H32" s="456">
        <f t="shared" si="16"/>
        <v>1167790.3710725748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2025</v>
      </c>
      <c r="D33" s="486">
        <f>IF(F32+SUM(E$17:E32)=D$10,F32,D$10-SUM(E$17:E32))</f>
        <v>7700954.4212135058</v>
      </c>
      <c r="E33" s="485">
        <f>IF(+I14&lt;F32,I14,D33)</f>
        <v>266420.11627906974</v>
      </c>
      <c r="F33" s="486">
        <f t="shared" si="14"/>
        <v>7434534.3049344365</v>
      </c>
      <c r="G33" s="487">
        <f t="shared" si="15"/>
        <v>1137137.0488548095</v>
      </c>
      <c r="H33" s="456">
        <f t="shared" si="16"/>
        <v>1137137.0488548095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2026</v>
      </c>
      <c r="D34" s="486">
        <f>IF(F33+SUM(E$17:E33)=D$10,F33,D$10-SUM(E$17:E33))</f>
        <v>7434534.3049344365</v>
      </c>
      <c r="E34" s="485">
        <f>IF(+I14&lt;F33,I14,D34)</f>
        <v>266420.11627906974</v>
      </c>
      <c r="F34" s="486">
        <f t="shared" si="14"/>
        <v>7168114.1886553671</v>
      </c>
      <c r="G34" s="487">
        <f t="shared" si="15"/>
        <v>1106483.7266370442</v>
      </c>
      <c r="H34" s="456">
        <f t="shared" si="16"/>
        <v>1106483.7266370442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2027</v>
      </c>
      <c r="D35" s="486">
        <f>IF(F34+SUM(E$17:E34)=D$10,F34,D$10-SUM(E$17:E34))</f>
        <v>7168114.1886553671</v>
      </c>
      <c r="E35" s="485">
        <f>IF(+I14&lt;F34,I14,D35)</f>
        <v>266420.11627906974</v>
      </c>
      <c r="F35" s="486">
        <f t="shared" si="14"/>
        <v>6901694.0723762978</v>
      </c>
      <c r="G35" s="487">
        <f t="shared" si="15"/>
        <v>1075830.404419279</v>
      </c>
      <c r="H35" s="456">
        <f t="shared" si="16"/>
        <v>1075830.404419279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2028</v>
      </c>
      <c r="D36" s="486">
        <f>IF(F35+SUM(E$17:E35)=D$10,F35,D$10-SUM(E$17:E35))</f>
        <v>6901694.0723762978</v>
      </c>
      <c r="E36" s="485">
        <f>IF(+I14&lt;F35,I14,D36)</f>
        <v>266420.11627906974</v>
      </c>
      <c r="F36" s="486">
        <f t="shared" si="14"/>
        <v>6635273.9560972285</v>
      </c>
      <c r="G36" s="487">
        <f t="shared" si="15"/>
        <v>1045177.0822015137</v>
      </c>
      <c r="H36" s="456">
        <f t="shared" si="16"/>
        <v>1045177.0822015137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2029</v>
      </c>
      <c r="D37" s="486">
        <f>IF(F36+SUM(E$17:E36)=D$10,F36,D$10-SUM(E$17:E36))</f>
        <v>6635273.9560972285</v>
      </c>
      <c r="E37" s="485">
        <f>IF(+I14&lt;F36,I14,D37)</f>
        <v>266420.11627906974</v>
      </c>
      <c r="F37" s="486">
        <f t="shared" si="14"/>
        <v>6368853.8398181591</v>
      </c>
      <c r="G37" s="487">
        <f t="shared" si="15"/>
        <v>1014523.7599837484</v>
      </c>
      <c r="H37" s="456">
        <f t="shared" si="16"/>
        <v>1014523.7599837484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2030</v>
      </c>
      <c r="D38" s="486">
        <f>IF(F37+SUM(E$17:E37)=D$10,F37,D$10-SUM(E$17:E37))</f>
        <v>6368853.8398181591</v>
      </c>
      <c r="E38" s="485">
        <f>IF(+I14&lt;F37,I14,D38)</f>
        <v>266420.11627906974</v>
      </c>
      <c r="F38" s="486">
        <f t="shared" si="14"/>
        <v>6102433.7235390898</v>
      </c>
      <c r="G38" s="487">
        <f t="shared" si="15"/>
        <v>983870.43776598317</v>
      </c>
      <c r="H38" s="456">
        <f t="shared" si="16"/>
        <v>983870.43776598317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2031</v>
      </c>
      <c r="D39" s="486">
        <f>IF(F38+SUM(E$17:E38)=D$10,F38,D$10-SUM(E$17:E38))</f>
        <v>6102433.7235390898</v>
      </c>
      <c r="E39" s="485">
        <f>IF(+I14&lt;F38,I14,D39)</f>
        <v>266420.11627906974</v>
      </c>
      <c r="F39" s="486">
        <f t="shared" si="14"/>
        <v>5836013.6072600204</v>
      </c>
      <c r="G39" s="487">
        <f t="shared" si="15"/>
        <v>953217.1155482179</v>
      </c>
      <c r="H39" s="456">
        <f t="shared" si="16"/>
        <v>953217.1155482179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2032</v>
      </c>
      <c r="D40" s="486">
        <f>IF(F39+SUM(E$17:E39)=D$10,F39,D$10-SUM(E$17:E39))</f>
        <v>5836013.6072600204</v>
      </c>
      <c r="E40" s="485">
        <f>IF(+I14&lt;F39,I14,D40)</f>
        <v>266420.11627906974</v>
      </c>
      <c r="F40" s="486">
        <f t="shared" si="14"/>
        <v>5569593.4909809511</v>
      </c>
      <c r="G40" s="487">
        <f t="shared" si="15"/>
        <v>922563.79333045264</v>
      </c>
      <c r="H40" s="456">
        <f t="shared" si="16"/>
        <v>922563.79333045264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2033</v>
      </c>
      <c r="D41" s="486">
        <f>IF(F40+SUM(E$17:E40)=D$10,F40,D$10-SUM(E$17:E40))</f>
        <v>5569593.4909809511</v>
      </c>
      <c r="E41" s="485">
        <f>IF(+I14&lt;F40,I14,D41)</f>
        <v>266420.11627906974</v>
      </c>
      <c r="F41" s="486">
        <f t="shared" si="14"/>
        <v>5303173.3747018818</v>
      </c>
      <c r="G41" s="487">
        <f t="shared" si="15"/>
        <v>891910.47111268737</v>
      </c>
      <c r="H41" s="456">
        <f t="shared" si="16"/>
        <v>891910.47111268737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2034</v>
      </c>
      <c r="D42" s="486">
        <f>IF(F41+SUM(E$17:E41)=D$10,F41,D$10-SUM(E$17:E41))</f>
        <v>5303173.3747018818</v>
      </c>
      <c r="E42" s="485">
        <f>IF(+I14&lt;F41,I14,D42)</f>
        <v>266420.11627906974</v>
      </c>
      <c r="F42" s="486">
        <f t="shared" si="14"/>
        <v>5036753.2584228124</v>
      </c>
      <c r="G42" s="487">
        <f t="shared" si="15"/>
        <v>861257.14889492211</v>
      </c>
      <c r="H42" s="456">
        <f t="shared" si="16"/>
        <v>861257.14889492211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2035</v>
      </c>
      <c r="D43" s="486">
        <f>IF(F42+SUM(E$17:E42)=D$10,F42,D$10-SUM(E$17:E42))</f>
        <v>5036753.2584228124</v>
      </c>
      <c r="E43" s="485">
        <f>IF(+I14&lt;F42,I14,D43)</f>
        <v>266420.11627906974</v>
      </c>
      <c r="F43" s="486">
        <f t="shared" si="14"/>
        <v>4770333.1421437431</v>
      </c>
      <c r="G43" s="487">
        <f t="shared" si="15"/>
        <v>830603.82667715685</v>
      </c>
      <c r="H43" s="456">
        <f t="shared" si="16"/>
        <v>830603.82667715685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2036</v>
      </c>
      <c r="D44" s="486">
        <f>IF(F43+SUM(E$17:E43)=D$10,F43,D$10-SUM(E$17:E43))</f>
        <v>4770333.1421437431</v>
      </c>
      <c r="E44" s="485">
        <f>IF(+I14&lt;F43,I14,D44)</f>
        <v>266420.11627906974</v>
      </c>
      <c r="F44" s="486">
        <f t="shared" si="14"/>
        <v>4503913.0258646738</v>
      </c>
      <c r="G44" s="487">
        <f t="shared" si="15"/>
        <v>799950.50445939158</v>
      </c>
      <c r="H44" s="456">
        <f t="shared" si="16"/>
        <v>799950.50445939158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2037</v>
      </c>
      <c r="D45" s="486">
        <f>IF(F44+SUM(E$17:E44)=D$10,F44,D$10-SUM(E$17:E44))</f>
        <v>4503913.0258646738</v>
      </c>
      <c r="E45" s="485">
        <f>IF(+I14&lt;F44,I14,D45)</f>
        <v>266420.11627906974</v>
      </c>
      <c r="F45" s="486">
        <f t="shared" si="14"/>
        <v>4237492.9095856044</v>
      </c>
      <c r="G45" s="487">
        <f t="shared" si="15"/>
        <v>769297.18224162632</v>
      </c>
      <c r="H45" s="456">
        <f t="shared" si="16"/>
        <v>769297.18224162632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2038</v>
      </c>
      <c r="D46" s="486">
        <f>IF(F45+SUM(E$17:E45)=D$10,F45,D$10-SUM(E$17:E45))</f>
        <v>4237492.9095856044</v>
      </c>
      <c r="E46" s="485">
        <f>IF(+I14&lt;F45,I14,D46)</f>
        <v>266420.11627906974</v>
      </c>
      <c r="F46" s="486">
        <f t="shared" si="14"/>
        <v>3971072.7933065346</v>
      </c>
      <c r="G46" s="487">
        <f t="shared" si="15"/>
        <v>738643.86002386105</v>
      </c>
      <c r="H46" s="456">
        <f t="shared" si="16"/>
        <v>738643.86002386105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2039</v>
      </c>
      <c r="D47" s="486">
        <f>IF(F46+SUM(E$17:E46)=D$10,F46,D$10-SUM(E$17:E46))</f>
        <v>3971072.7933065346</v>
      </c>
      <c r="E47" s="485">
        <f>IF(+I14&lt;F46,I14,D47)</f>
        <v>266420.11627906974</v>
      </c>
      <c r="F47" s="486">
        <f t="shared" si="14"/>
        <v>3704652.6770274648</v>
      </c>
      <c r="G47" s="487">
        <f t="shared" si="15"/>
        <v>707990.53780609579</v>
      </c>
      <c r="H47" s="456">
        <f t="shared" si="16"/>
        <v>707990.53780609579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2040</v>
      </c>
      <c r="D48" s="486">
        <f>IF(F47+SUM(E$17:E47)=D$10,F47,D$10-SUM(E$17:E47))</f>
        <v>3704652.6770274648</v>
      </c>
      <c r="E48" s="485">
        <f>IF(+I14&lt;F47,I14,D48)</f>
        <v>266420.11627906974</v>
      </c>
      <c r="F48" s="486">
        <f t="shared" si="14"/>
        <v>3438232.560748395</v>
      </c>
      <c r="G48" s="487">
        <f t="shared" si="15"/>
        <v>677337.21558833052</v>
      </c>
      <c r="H48" s="456">
        <f t="shared" si="16"/>
        <v>677337.21558833052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2041</v>
      </c>
      <c r="D49" s="486">
        <f>IF(F48+SUM(E$17:E48)=D$10,F48,D$10-SUM(E$17:E48))</f>
        <v>3438232.560748395</v>
      </c>
      <c r="E49" s="485">
        <f>IF(+I14&lt;F48,I14,D49)</f>
        <v>266420.11627906974</v>
      </c>
      <c r="F49" s="486">
        <f t="shared" si="14"/>
        <v>3171812.4444693252</v>
      </c>
      <c r="G49" s="487">
        <f t="shared" si="15"/>
        <v>646683.89337056503</v>
      </c>
      <c r="H49" s="456">
        <f t="shared" si="16"/>
        <v>646683.89337056503</v>
      </c>
      <c r="I49" s="476">
        <f t="shared" ref="I49:I72" si="17">H303-G303</f>
        <v>0</v>
      </c>
      <c r="J49" s="476"/>
      <c r="K49" s="488"/>
      <c r="L49" s="479">
        <f t="shared" ref="L49:L72" si="18">IF(K303&lt;&gt;0,+G303-K303,0)</f>
        <v>0</v>
      </c>
      <c r="M49" s="488"/>
      <c r="N49" s="479">
        <f t="shared" ref="N49:N72" si="19">IF(M303&lt;&gt;0,+H303-M303,0)</f>
        <v>0</v>
      </c>
      <c r="O49" s="479">
        <f t="shared" ref="O49:O72" si="20">+N303-L303</f>
        <v>0</v>
      </c>
      <c r="P49" s="243"/>
    </row>
    <row r="50" spans="2:16" ht="12.5">
      <c r="B50" s="160" t="str">
        <f t="shared" si="6"/>
        <v/>
      </c>
      <c r="C50" s="473">
        <f>IF(D11="","-",+C49+1)</f>
        <v>2042</v>
      </c>
      <c r="D50" s="486">
        <f>IF(F49+SUM(E$17:E49)=D$10,F49,D$10-SUM(E$17:E49))</f>
        <v>3171812.4444693252</v>
      </c>
      <c r="E50" s="485">
        <f>IF(+I14&lt;F49,I14,D50)</f>
        <v>266420.11627906974</v>
      </c>
      <c r="F50" s="486">
        <f t="shared" si="14"/>
        <v>2905392.3281902554</v>
      </c>
      <c r="G50" s="487">
        <f t="shared" si="15"/>
        <v>616030.57115279976</v>
      </c>
      <c r="H50" s="456">
        <f t="shared" si="16"/>
        <v>616030.57115279976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6"/>
        <v/>
      </c>
      <c r="C51" s="473">
        <f>IF(D11="","-",+C50+1)</f>
        <v>2043</v>
      </c>
      <c r="D51" s="486">
        <f>IF(F50+SUM(E$17:E50)=D$10,F50,D$10-SUM(E$17:E50))</f>
        <v>2905392.3281902554</v>
      </c>
      <c r="E51" s="485">
        <f>IF(+I14&lt;F50,I14,D51)</f>
        <v>266420.11627906974</v>
      </c>
      <c r="F51" s="486">
        <f t="shared" si="14"/>
        <v>2638972.2119111856</v>
      </c>
      <c r="G51" s="487">
        <f t="shared" si="15"/>
        <v>585377.2489350345</v>
      </c>
      <c r="H51" s="456">
        <f t="shared" si="16"/>
        <v>585377.2489350345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6"/>
        <v/>
      </c>
      <c r="C52" s="473">
        <f>IF(D11="","-",+C51+1)</f>
        <v>2044</v>
      </c>
      <c r="D52" s="486">
        <f>IF(F51+SUM(E$17:E51)=D$10,F51,D$10-SUM(E$17:E51))</f>
        <v>2638972.2119111856</v>
      </c>
      <c r="E52" s="485">
        <f>IF(+I14&lt;F51,I14,D52)</f>
        <v>266420.11627906974</v>
      </c>
      <c r="F52" s="486">
        <f t="shared" si="14"/>
        <v>2372552.0956321158</v>
      </c>
      <c r="G52" s="487">
        <f t="shared" si="15"/>
        <v>554723.92671726923</v>
      </c>
      <c r="H52" s="456">
        <f t="shared" si="16"/>
        <v>554723.92671726923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6"/>
        <v/>
      </c>
      <c r="C53" s="473">
        <f>IF(D11="","-",+C52+1)</f>
        <v>2045</v>
      </c>
      <c r="D53" s="486">
        <f>IF(F52+SUM(E$17:E52)=D$10,F52,D$10-SUM(E$17:E52))</f>
        <v>2372552.0956321158</v>
      </c>
      <c r="E53" s="485">
        <f>IF(+I14&lt;F52,I14,D53)</f>
        <v>266420.11627906974</v>
      </c>
      <c r="F53" s="486">
        <f t="shared" si="14"/>
        <v>2106131.979353046</v>
      </c>
      <c r="G53" s="487">
        <f t="shared" si="15"/>
        <v>524070.60449950385</v>
      </c>
      <c r="H53" s="456">
        <f t="shared" si="16"/>
        <v>524070.60449950385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6"/>
        <v/>
      </c>
      <c r="C54" s="473">
        <f>IF(D11="","-",+C53+1)</f>
        <v>2046</v>
      </c>
      <c r="D54" s="486">
        <f>IF(F53+SUM(E$17:E53)=D$10,F53,D$10-SUM(E$17:E53))</f>
        <v>2106131.979353046</v>
      </c>
      <c r="E54" s="485">
        <f>IF(+I14&lt;F53,I14,D54)</f>
        <v>266420.11627906974</v>
      </c>
      <c r="F54" s="486">
        <f t="shared" si="14"/>
        <v>1839711.8630739762</v>
      </c>
      <c r="G54" s="487">
        <f t="shared" si="15"/>
        <v>493417.28228173859</v>
      </c>
      <c r="H54" s="456">
        <f t="shared" si="16"/>
        <v>493417.28228173859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6"/>
        <v/>
      </c>
      <c r="C55" s="473">
        <f>IF(D11="","-",+C54+1)</f>
        <v>2047</v>
      </c>
      <c r="D55" s="486">
        <f>IF(F54+SUM(E$17:E54)=D$10,F54,D$10-SUM(E$17:E54))</f>
        <v>1839711.8630739762</v>
      </c>
      <c r="E55" s="485">
        <f>IF(+I14&lt;F54,I14,D55)</f>
        <v>266420.11627906974</v>
      </c>
      <c r="F55" s="486">
        <f t="shared" si="14"/>
        <v>1573291.7467949064</v>
      </c>
      <c r="G55" s="487">
        <f t="shared" si="15"/>
        <v>462763.96006397327</v>
      </c>
      <c r="H55" s="456">
        <f t="shared" si="16"/>
        <v>462763.96006397327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6"/>
        <v/>
      </c>
      <c r="C56" s="473">
        <f>IF(D11="","-",+C55+1)</f>
        <v>2048</v>
      </c>
      <c r="D56" s="486">
        <f>IF(F55+SUM(E$17:E55)=D$10,F55,D$10-SUM(E$17:E55))</f>
        <v>1573291.7467949064</v>
      </c>
      <c r="E56" s="485">
        <f>IF(+I14&lt;F55,I14,D56)</f>
        <v>266420.11627906974</v>
      </c>
      <c r="F56" s="486">
        <f t="shared" si="14"/>
        <v>1306871.6305158366</v>
      </c>
      <c r="G56" s="487">
        <f t="shared" si="15"/>
        <v>432110.63784620794</v>
      </c>
      <c r="H56" s="456">
        <f t="shared" si="16"/>
        <v>432110.63784620794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6"/>
        <v/>
      </c>
      <c r="C57" s="473">
        <f>IF(D11="","-",+C56+1)</f>
        <v>2049</v>
      </c>
      <c r="D57" s="486">
        <f>IF(F56+SUM(E$17:E56)=D$10,F56,D$10-SUM(E$17:E56))</f>
        <v>1306871.6305158366</v>
      </c>
      <c r="E57" s="485">
        <f>IF(+I14&lt;F56,I14,D57)</f>
        <v>266420.11627906974</v>
      </c>
      <c r="F57" s="486">
        <f t="shared" si="14"/>
        <v>1040451.5142367668</v>
      </c>
      <c r="G57" s="487">
        <f t="shared" si="15"/>
        <v>401457.31562844268</v>
      </c>
      <c r="H57" s="456">
        <f t="shared" si="16"/>
        <v>401457.31562844268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6"/>
        <v/>
      </c>
      <c r="C58" s="473">
        <f>IF(D11="","-",+C57+1)</f>
        <v>2050</v>
      </c>
      <c r="D58" s="486">
        <f>IF(F57+SUM(E$17:E57)=D$10,F57,D$10-SUM(E$17:E57))</f>
        <v>1040451.5142367668</v>
      </c>
      <c r="E58" s="485">
        <f>IF(+I14&lt;F57,I14,D58)</f>
        <v>266420.11627906974</v>
      </c>
      <c r="F58" s="486">
        <f t="shared" si="14"/>
        <v>774031.39795769705</v>
      </c>
      <c r="G58" s="487">
        <f t="shared" si="15"/>
        <v>370803.99341067736</v>
      </c>
      <c r="H58" s="456">
        <f t="shared" si="16"/>
        <v>370803.99341067736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6"/>
        <v/>
      </c>
      <c r="C59" s="473">
        <f>IF(D11="","-",+C58+1)</f>
        <v>2051</v>
      </c>
      <c r="D59" s="486">
        <f>IF(F58+SUM(E$17:E58)=D$10,F58,D$10-SUM(E$17:E58))</f>
        <v>774031.39795769705</v>
      </c>
      <c r="E59" s="485">
        <f>IF(+I14&lt;F58,I14,D59)</f>
        <v>266420.11627906974</v>
      </c>
      <c r="F59" s="486">
        <f t="shared" si="14"/>
        <v>507611.2816786273</v>
      </c>
      <c r="G59" s="487">
        <f t="shared" si="15"/>
        <v>340150.67119291204</v>
      </c>
      <c r="H59" s="456">
        <f t="shared" si="16"/>
        <v>340150.67119291204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6"/>
        <v/>
      </c>
      <c r="C60" s="473">
        <f>IF(D11="","-",+C59+1)</f>
        <v>2052</v>
      </c>
      <c r="D60" s="486">
        <f>IF(F59+SUM(E$17:E59)=D$10,F59,D$10-SUM(E$17:E59))</f>
        <v>507611.2816786273</v>
      </c>
      <c r="E60" s="485">
        <f>IF(+I14&lt;F59,I14,D60)</f>
        <v>266420.11627906974</v>
      </c>
      <c r="F60" s="486">
        <f t="shared" si="14"/>
        <v>241191.16539955756</v>
      </c>
      <c r="G60" s="487">
        <f t="shared" si="15"/>
        <v>309497.34897514671</v>
      </c>
      <c r="H60" s="456">
        <f t="shared" si="16"/>
        <v>309497.34897514671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6"/>
        <v/>
      </c>
      <c r="C61" s="473">
        <f>IF(D11="","-",+C60+1)</f>
        <v>2053</v>
      </c>
      <c r="D61" s="486">
        <f>IF(F60+SUM(E$17:E60)=D$10,F60,D$10-SUM(E$17:E60))</f>
        <v>241191.16539955756</v>
      </c>
      <c r="E61" s="485">
        <f>IF(+I14&lt;F60,I14,D61)</f>
        <v>241191.16539955756</v>
      </c>
      <c r="F61" s="486">
        <f t="shared" si="14"/>
        <v>0</v>
      </c>
      <c r="G61" s="487">
        <f t="shared" si="15"/>
        <v>255066.45119315473</v>
      </c>
      <c r="H61" s="456">
        <f t="shared" si="16"/>
        <v>255066.45119315473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6"/>
        <v/>
      </c>
      <c r="C62" s="473">
        <f>IF(D11="","-",+C61+1)</f>
        <v>2054</v>
      </c>
      <c r="D62" s="486">
        <f>IF(F61+SUM(E$17:E61)=D$10,F61,D$10-SUM(E$17:E61))</f>
        <v>0</v>
      </c>
      <c r="E62" s="485">
        <f>IF(+I14&lt;F61,I14,D62)</f>
        <v>0</v>
      </c>
      <c r="F62" s="486">
        <f t="shared" si="14"/>
        <v>0</v>
      </c>
      <c r="G62" s="487">
        <f t="shared" si="15"/>
        <v>0</v>
      </c>
      <c r="H62" s="456">
        <f t="shared" si="16"/>
        <v>0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6"/>
        <v/>
      </c>
      <c r="C63" s="473">
        <f>IF(D11="","-",+C62+1)</f>
        <v>2055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4"/>
        <v>0</v>
      </c>
      <c r="G63" s="487">
        <f t="shared" si="15"/>
        <v>0</v>
      </c>
      <c r="H63" s="456">
        <f t="shared" si="16"/>
        <v>0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6"/>
        <v/>
      </c>
      <c r="C64" s="473">
        <f>IF(D11="","-",+C63+1)</f>
        <v>2056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4"/>
        <v>0</v>
      </c>
      <c r="G64" s="487">
        <f t="shared" si="15"/>
        <v>0</v>
      </c>
      <c r="H64" s="456">
        <f t="shared" si="16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6"/>
        <v/>
      </c>
      <c r="C65" s="473">
        <f>IF(D11="","-",+C64+1)</f>
        <v>2057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4"/>
        <v>0</v>
      </c>
      <c r="G65" s="487">
        <f t="shared" si="15"/>
        <v>0</v>
      </c>
      <c r="H65" s="456">
        <f t="shared" si="16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6"/>
        <v/>
      </c>
      <c r="C66" s="473">
        <f>IF(D11="","-",+C65+1)</f>
        <v>2058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4"/>
        <v>0</v>
      </c>
      <c r="G66" s="487">
        <f t="shared" si="15"/>
        <v>0</v>
      </c>
      <c r="H66" s="456">
        <f t="shared" si="16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6"/>
        <v/>
      </c>
      <c r="C67" s="473">
        <f>IF(D11="","-",+C66+1)</f>
        <v>2059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4"/>
        <v>0</v>
      </c>
      <c r="G67" s="487">
        <f t="shared" si="15"/>
        <v>0</v>
      </c>
      <c r="H67" s="456">
        <f t="shared" si="16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6"/>
        <v/>
      </c>
      <c r="C68" s="473">
        <f>IF(D11="","-",+C67+1)</f>
        <v>2060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4"/>
        <v>0</v>
      </c>
      <c r="G68" s="487">
        <f t="shared" si="15"/>
        <v>0</v>
      </c>
      <c r="H68" s="456">
        <f t="shared" si="16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6"/>
        <v/>
      </c>
      <c r="C69" s="473">
        <f>IF(D11="","-",+C68+1)</f>
        <v>2061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4"/>
        <v>0</v>
      </c>
      <c r="G69" s="487">
        <f t="shared" si="15"/>
        <v>0</v>
      </c>
      <c r="H69" s="456">
        <f t="shared" si="16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6"/>
        <v/>
      </c>
      <c r="C70" s="473">
        <f>IF(D11="","-",+C69+1)</f>
        <v>2062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4"/>
        <v>0</v>
      </c>
      <c r="G70" s="487">
        <f t="shared" si="15"/>
        <v>0</v>
      </c>
      <c r="H70" s="456">
        <f t="shared" si="16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6"/>
        <v/>
      </c>
      <c r="C71" s="473">
        <f>IF(D11="","-",+C70+1)</f>
        <v>2063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4"/>
        <v>0</v>
      </c>
      <c r="G71" s="487">
        <f t="shared" si="15"/>
        <v>0</v>
      </c>
      <c r="H71" s="456">
        <f t="shared" si="16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2064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4"/>
        <v>0</v>
      </c>
      <c r="G72" s="491">
        <f t="shared" si="15"/>
        <v>0</v>
      </c>
      <c r="H72" s="491">
        <f t="shared" si="16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11456064.999999996</v>
      </c>
      <c r="F73" s="348"/>
      <c r="G73" s="348">
        <f>SUM(G17:G72)</f>
        <v>43569302.800239213</v>
      </c>
      <c r="H73" s="348">
        <f>SUM(H17:H72)</f>
        <v>43569302.800239213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3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1231446.9312681679</v>
      </c>
      <c r="N87" s="509">
        <f>IF(J92&lt;D11,0,VLOOKUP(J92,C17:O72,11))</f>
        <v>1231446.9312681679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1288700.9982176959</v>
      </c>
      <c r="N88" s="513">
        <f>IF(J92&lt;D11,0,VLOOKUP(J92,C99:P154,7))</f>
        <v>1288700.9982176959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WFEC New 138 kV Ties: Sayre to Erick (WFEC) Line &amp; Atoka and Tupelo station work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57254.066949527944</v>
      </c>
      <c r="N89" s="518">
        <f>+N88-N87</f>
        <v>57254.066949527944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TP2006054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11456065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2009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10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266420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2009</v>
      </c>
      <c r="D99" s="474">
        <v>0</v>
      </c>
      <c r="E99" s="481">
        <v>26281</v>
      </c>
      <c r="F99" s="480">
        <v>8804059</v>
      </c>
      <c r="G99" s="538">
        <v>4402030</v>
      </c>
      <c r="H99" s="539">
        <v>669894</v>
      </c>
      <c r="I99" s="540">
        <v>669894</v>
      </c>
      <c r="J99" s="479">
        <f t="shared" ref="J99:J130" si="21">+I99-H99</f>
        <v>0</v>
      </c>
      <c r="K99" s="479"/>
      <c r="L99" s="555">
        <f t="shared" ref="L99:L104" si="22">H99</f>
        <v>669894</v>
      </c>
      <c r="M99" s="478">
        <f t="shared" ref="M99:M130" si="23">IF(L99&lt;&gt;0,+H99-L99,0)</f>
        <v>0</v>
      </c>
      <c r="N99" s="555">
        <f t="shared" ref="N99:N104" si="24">I99</f>
        <v>669894</v>
      </c>
      <c r="O99" s="478">
        <f t="shared" ref="O99:O130" si="25">IF(N99&lt;&gt;0,+I99-N99,0)</f>
        <v>0</v>
      </c>
      <c r="P99" s="478">
        <f t="shared" ref="P99:P130" si="26">+O99-M99</f>
        <v>0</v>
      </c>
    </row>
    <row r="100" spans="1:16" ht="12.5">
      <c r="B100" s="160" t="str">
        <f>IF(D100=F99,"","IU")</f>
        <v>IU</v>
      </c>
      <c r="C100" s="473">
        <f>IF(D93="","-",+C99+1)</f>
        <v>2010</v>
      </c>
      <c r="D100" s="474">
        <v>12205867</v>
      </c>
      <c r="E100" s="481">
        <v>239846</v>
      </c>
      <c r="F100" s="480">
        <v>11966021</v>
      </c>
      <c r="G100" s="480">
        <v>12085944</v>
      </c>
      <c r="H100" s="481">
        <v>2183449.7644146364</v>
      </c>
      <c r="I100" s="482">
        <v>2183449.7644146364</v>
      </c>
      <c r="J100" s="479">
        <f t="shared" si="21"/>
        <v>0</v>
      </c>
      <c r="K100" s="479"/>
      <c r="L100" s="541">
        <f t="shared" si="22"/>
        <v>2183449.7644146364</v>
      </c>
      <c r="M100" s="542">
        <f t="shared" si="23"/>
        <v>0</v>
      </c>
      <c r="N100" s="541">
        <f t="shared" si="24"/>
        <v>2183449.7644146364</v>
      </c>
      <c r="O100" s="479">
        <f t="shared" si="25"/>
        <v>0</v>
      </c>
      <c r="P100" s="479">
        <f t="shared" si="26"/>
        <v>0</v>
      </c>
    </row>
    <row r="101" spans="1:16" ht="12.5">
      <c r="B101" s="160" t="str">
        <f t="shared" ref="B101:B154" si="27">IF(D101=F100,"","IU")</f>
        <v/>
      </c>
      <c r="C101" s="473">
        <f>IF(D93="","-",+C100+1)</f>
        <v>2011</v>
      </c>
      <c r="D101" s="474">
        <v>11966021</v>
      </c>
      <c r="E101" s="481">
        <v>235234</v>
      </c>
      <c r="F101" s="480">
        <v>11730787</v>
      </c>
      <c r="G101" s="480">
        <v>11848404</v>
      </c>
      <c r="H101" s="481">
        <v>1891800.0972614796</v>
      </c>
      <c r="I101" s="482">
        <v>1891800.0972614796</v>
      </c>
      <c r="J101" s="479">
        <f t="shared" si="21"/>
        <v>0</v>
      </c>
      <c r="K101" s="479"/>
      <c r="L101" s="541">
        <f t="shared" si="22"/>
        <v>1891800.0972614796</v>
      </c>
      <c r="M101" s="542">
        <f t="shared" si="23"/>
        <v>0</v>
      </c>
      <c r="N101" s="541">
        <f t="shared" si="24"/>
        <v>1891800.0972614796</v>
      </c>
      <c r="O101" s="479">
        <f t="shared" si="25"/>
        <v>0</v>
      </c>
      <c r="P101" s="479">
        <f t="shared" si="26"/>
        <v>0</v>
      </c>
    </row>
    <row r="102" spans="1:16" ht="12.5">
      <c r="B102" s="160" t="str">
        <f t="shared" si="27"/>
        <v/>
      </c>
      <c r="C102" s="473">
        <f>IF(D93="","-",+C101+1)</f>
        <v>2012</v>
      </c>
      <c r="D102" s="474">
        <v>11730787</v>
      </c>
      <c r="E102" s="481">
        <v>235234</v>
      </c>
      <c r="F102" s="480">
        <v>11495553</v>
      </c>
      <c r="G102" s="480">
        <v>11613170</v>
      </c>
      <c r="H102" s="481">
        <v>1905852.1655461292</v>
      </c>
      <c r="I102" s="482">
        <v>1905852.1655461292</v>
      </c>
      <c r="J102" s="479">
        <v>0</v>
      </c>
      <c r="K102" s="479"/>
      <c r="L102" s="541">
        <f t="shared" si="22"/>
        <v>1905852.1655461292</v>
      </c>
      <c r="M102" s="542">
        <f t="shared" ref="M102:M107" si="28">IF(L102&lt;&gt;0,+H102-L102,0)</f>
        <v>0</v>
      </c>
      <c r="N102" s="541">
        <f t="shared" si="24"/>
        <v>1905852.1655461292</v>
      </c>
      <c r="O102" s="479">
        <f t="shared" ref="O102:O107" si="29">IF(N102&lt;&gt;0,+I102-N102,0)</f>
        <v>0</v>
      </c>
      <c r="P102" s="479">
        <f t="shared" ref="P102:P107" si="30">+O102-M102</f>
        <v>0</v>
      </c>
    </row>
    <row r="103" spans="1:16" ht="12.5">
      <c r="B103" s="160" t="str">
        <f t="shared" si="27"/>
        <v/>
      </c>
      <c r="C103" s="473">
        <f>IF(D93="","-",+C102+1)</f>
        <v>2013</v>
      </c>
      <c r="D103" s="474">
        <v>11495553</v>
      </c>
      <c r="E103" s="481">
        <v>235234</v>
      </c>
      <c r="F103" s="480">
        <v>11260319</v>
      </c>
      <c r="G103" s="480">
        <v>11377936</v>
      </c>
      <c r="H103" s="481">
        <v>1872969.4877104962</v>
      </c>
      <c r="I103" s="482">
        <v>1872969.4877104962</v>
      </c>
      <c r="J103" s="479">
        <v>0</v>
      </c>
      <c r="K103" s="479"/>
      <c r="L103" s="541">
        <f t="shared" si="22"/>
        <v>1872969.4877104962</v>
      </c>
      <c r="M103" s="542">
        <f t="shared" si="28"/>
        <v>0</v>
      </c>
      <c r="N103" s="541">
        <f t="shared" si="24"/>
        <v>1872969.4877104962</v>
      </c>
      <c r="O103" s="479">
        <f t="shared" si="29"/>
        <v>0</v>
      </c>
      <c r="P103" s="479">
        <f t="shared" si="30"/>
        <v>0</v>
      </c>
    </row>
    <row r="104" spans="1:16" ht="12.5">
      <c r="B104" s="160" t="str">
        <f t="shared" si="27"/>
        <v>IU</v>
      </c>
      <c r="C104" s="473">
        <f>IF(D93="","-",+C103+1)</f>
        <v>2014</v>
      </c>
      <c r="D104" s="474">
        <v>10484236</v>
      </c>
      <c r="E104" s="481">
        <v>220309</v>
      </c>
      <c r="F104" s="480">
        <v>10263927</v>
      </c>
      <c r="G104" s="480">
        <v>10374081.5</v>
      </c>
      <c r="H104" s="481">
        <v>1678862.4521722798</v>
      </c>
      <c r="I104" s="482">
        <v>1678862.4521722798</v>
      </c>
      <c r="J104" s="479">
        <v>0</v>
      </c>
      <c r="K104" s="479"/>
      <c r="L104" s="541">
        <f t="shared" si="22"/>
        <v>1678862.4521722798</v>
      </c>
      <c r="M104" s="542">
        <f t="shared" si="28"/>
        <v>0</v>
      </c>
      <c r="N104" s="541">
        <f t="shared" si="24"/>
        <v>1678862.4521722798</v>
      </c>
      <c r="O104" s="479">
        <f t="shared" si="29"/>
        <v>0</v>
      </c>
      <c r="P104" s="479">
        <f t="shared" si="30"/>
        <v>0</v>
      </c>
    </row>
    <row r="105" spans="1:16" ht="12.5">
      <c r="B105" s="160" t="str">
        <f t="shared" si="27"/>
        <v/>
      </c>
      <c r="C105" s="473">
        <f>IF(D93="","-",+C104+1)</f>
        <v>2015</v>
      </c>
      <c r="D105" s="474">
        <v>10263927</v>
      </c>
      <c r="E105" s="481">
        <v>220309</v>
      </c>
      <c r="F105" s="480">
        <v>10043618</v>
      </c>
      <c r="G105" s="480">
        <v>10153772.5</v>
      </c>
      <c r="H105" s="481">
        <v>1605709.6172709188</v>
      </c>
      <c r="I105" s="482">
        <v>1605709.6172709188</v>
      </c>
      <c r="J105" s="479">
        <f t="shared" si="21"/>
        <v>0</v>
      </c>
      <c r="K105" s="479"/>
      <c r="L105" s="541">
        <f>H105</f>
        <v>1605709.6172709188</v>
      </c>
      <c r="M105" s="542">
        <f t="shared" si="28"/>
        <v>0</v>
      </c>
      <c r="N105" s="541">
        <f>I105</f>
        <v>1605709.6172709188</v>
      </c>
      <c r="O105" s="479">
        <f t="shared" si="29"/>
        <v>0</v>
      </c>
      <c r="P105" s="479">
        <f t="shared" si="30"/>
        <v>0</v>
      </c>
    </row>
    <row r="106" spans="1:16" ht="12.5">
      <c r="B106" s="160" t="str">
        <f t="shared" si="27"/>
        <v/>
      </c>
      <c r="C106" s="473">
        <f>IF(D93="","-",+C105+1)</f>
        <v>2016</v>
      </c>
      <c r="D106" s="474">
        <v>10043618</v>
      </c>
      <c r="E106" s="481">
        <v>249045</v>
      </c>
      <c r="F106" s="480">
        <v>9794573</v>
      </c>
      <c r="G106" s="480">
        <v>9919095.5</v>
      </c>
      <c r="H106" s="481">
        <v>1527772.6245386968</v>
      </c>
      <c r="I106" s="482">
        <v>1527772.6245386968</v>
      </c>
      <c r="J106" s="479">
        <f t="shared" si="21"/>
        <v>0</v>
      </c>
      <c r="K106" s="479"/>
      <c r="L106" s="541">
        <f>H106</f>
        <v>1527772.6245386968</v>
      </c>
      <c r="M106" s="542">
        <f t="shared" si="28"/>
        <v>0</v>
      </c>
      <c r="N106" s="541">
        <f>I106</f>
        <v>1527772.6245386968</v>
      </c>
      <c r="O106" s="479">
        <f t="shared" si="29"/>
        <v>0</v>
      </c>
      <c r="P106" s="479">
        <f t="shared" si="30"/>
        <v>0</v>
      </c>
    </row>
    <row r="107" spans="1:16" ht="12.5">
      <c r="B107" s="160" t="str">
        <f t="shared" si="27"/>
        <v/>
      </c>
      <c r="C107" s="473">
        <f>IF(D93="","-",+C106+1)</f>
        <v>2017</v>
      </c>
      <c r="D107" s="474">
        <v>9794573</v>
      </c>
      <c r="E107" s="481">
        <v>249045</v>
      </c>
      <c r="F107" s="480">
        <v>9545528</v>
      </c>
      <c r="G107" s="480">
        <v>9670050.5</v>
      </c>
      <c r="H107" s="481">
        <v>1475715.2889659985</v>
      </c>
      <c r="I107" s="482">
        <v>1475715.2889659985</v>
      </c>
      <c r="J107" s="479">
        <f t="shared" si="21"/>
        <v>0</v>
      </c>
      <c r="K107" s="479"/>
      <c r="L107" s="541">
        <f>H107</f>
        <v>1475715.2889659985</v>
      </c>
      <c r="M107" s="542">
        <f t="shared" si="28"/>
        <v>0</v>
      </c>
      <c r="N107" s="541">
        <f>I107</f>
        <v>1475715.2889659985</v>
      </c>
      <c r="O107" s="479">
        <f t="shared" si="29"/>
        <v>0</v>
      </c>
      <c r="P107" s="479">
        <f t="shared" si="30"/>
        <v>0</v>
      </c>
    </row>
    <row r="108" spans="1:16" ht="12.5">
      <c r="B108" s="160" t="str">
        <f t="shared" si="27"/>
        <v/>
      </c>
      <c r="C108" s="473">
        <f>IF(D93="","-",+C107+1)</f>
        <v>2018</v>
      </c>
      <c r="D108" s="474">
        <v>9545528</v>
      </c>
      <c r="E108" s="481">
        <v>266420</v>
      </c>
      <c r="F108" s="480">
        <v>9279108</v>
      </c>
      <c r="G108" s="480">
        <v>9412318</v>
      </c>
      <c r="H108" s="481">
        <v>1233399.824885203</v>
      </c>
      <c r="I108" s="482">
        <v>1233399.824885203</v>
      </c>
      <c r="J108" s="479">
        <f t="shared" si="21"/>
        <v>0</v>
      </c>
      <c r="K108" s="479"/>
      <c r="L108" s="541">
        <f>H108</f>
        <v>1233399.824885203</v>
      </c>
      <c r="M108" s="542">
        <f t="shared" ref="M108" si="31">IF(L108&lt;&gt;0,+H108-L108,0)</f>
        <v>0</v>
      </c>
      <c r="N108" s="541">
        <f>I108</f>
        <v>1233399.824885203</v>
      </c>
      <c r="O108" s="479">
        <f t="shared" ref="O108" si="32">IF(N108&lt;&gt;0,+I108-N108,0)</f>
        <v>0</v>
      </c>
      <c r="P108" s="479">
        <f t="shared" ref="P108" si="33">+O108-M108</f>
        <v>0</v>
      </c>
    </row>
    <row r="109" spans="1:16" ht="12.5">
      <c r="B109" s="160" t="str">
        <f t="shared" si="27"/>
        <v/>
      </c>
      <c r="C109" s="473">
        <f>IF(D93="","-",+C108+1)</f>
        <v>2019</v>
      </c>
      <c r="D109" s="474">
        <v>9279108</v>
      </c>
      <c r="E109" s="481">
        <v>279416</v>
      </c>
      <c r="F109" s="480">
        <v>8999692</v>
      </c>
      <c r="G109" s="480">
        <v>9139400</v>
      </c>
      <c r="H109" s="481">
        <v>1221816.3299613127</v>
      </c>
      <c r="I109" s="482">
        <v>1221816.3299613127</v>
      </c>
      <c r="J109" s="479">
        <f t="shared" si="21"/>
        <v>0</v>
      </c>
      <c r="K109" s="479"/>
      <c r="L109" s="541">
        <f>H109</f>
        <v>1221816.3299613127</v>
      </c>
      <c r="M109" s="542">
        <f t="shared" ref="M109" si="34">IF(L109&lt;&gt;0,+H109-L109,0)</f>
        <v>0</v>
      </c>
      <c r="N109" s="541">
        <f>I109</f>
        <v>1221816.3299613127</v>
      </c>
      <c r="O109" s="479">
        <f t="shared" si="25"/>
        <v>0</v>
      </c>
      <c r="P109" s="479">
        <f t="shared" si="26"/>
        <v>0</v>
      </c>
    </row>
    <row r="110" spans="1:16" ht="12.5">
      <c r="B110" s="160" t="str">
        <f t="shared" si="27"/>
        <v/>
      </c>
      <c r="C110" s="473">
        <f>IF(D93="","-",+C109+1)</f>
        <v>2020</v>
      </c>
      <c r="D110" s="347">
        <f>IF(F109+SUM(E$99:E109)=D$92,F109,D$92-SUM(E$99:E109))</f>
        <v>8999692</v>
      </c>
      <c r="E110" s="487">
        <f>IF(+J96&lt;F109,J96,D110)</f>
        <v>266420</v>
      </c>
      <c r="F110" s="486">
        <f t="shared" ref="F110:F130" si="35">+D110-E110</f>
        <v>8733272</v>
      </c>
      <c r="G110" s="486">
        <f t="shared" ref="G110:G130" si="36">+(F110+D110)/2</f>
        <v>8866482</v>
      </c>
      <c r="H110" s="487">
        <f>(D110+F110)/2*J$94+E110</f>
        <v>1288700.9982176959</v>
      </c>
      <c r="I110" s="543">
        <f t="shared" ref="I110:I154" si="37">+J$95*G110+E110</f>
        <v>1288700.9982176959</v>
      </c>
      <c r="J110" s="479">
        <f t="shared" si="21"/>
        <v>0</v>
      </c>
      <c r="K110" s="479"/>
      <c r="L110" s="488"/>
      <c r="M110" s="479">
        <f t="shared" si="23"/>
        <v>0</v>
      </c>
      <c r="N110" s="488"/>
      <c r="O110" s="479">
        <f t="shared" si="25"/>
        <v>0</v>
      </c>
      <c r="P110" s="479">
        <f t="shared" si="26"/>
        <v>0</v>
      </c>
    </row>
    <row r="111" spans="1:16" ht="12.5">
      <c r="B111" s="160" t="str">
        <f t="shared" si="27"/>
        <v/>
      </c>
      <c r="C111" s="473">
        <f>IF(D93="","-",+C110+1)</f>
        <v>2021</v>
      </c>
      <c r="D111" s="347">
        <f>IF(F110+SUM(E$99:E110)=D$92,F110,D$92-SUM(E$99:E110))</f>
        <v>8733272</v>
      </c>
      <c r="E111" s="487">
        <f>IF(+J96&lt;F110,J96,D111)</f>
        <v>266420</v>
      </c>
      <c r="F111" s="486">
        <f t="shared" si="35"/>
        <v>8466852</v>
      </c>
      <c r="G111" s="486">
        <f t="shared" si="36"/>
        <v>8600062</v>
      </c>
      <c r="H111" s="487">
        <f t="shared" ref="H111:H154" si="38">(D111+F111)/2*J$94+E111</f>
        <v>1257983.5046790908</v>
      </c>
      <c r="I111" s="543">
        <f t="shared" si="37"/>
        <v>1257983.5046790908</v>
      </c>
      <c r="J111" s="479">
        <f t="shared" si="21"/>
        <v>0</v>
      </c>
      <c r="K111" s="479"/>
      <c r="L111" s="488"/>
      <c r="M111" s="479">
        <f t="shared" si="23"/>
        <v>0</v>
      </c>
      <c r="N111" s="488"/>
      <c r="O111" s="479">
        <f t="shared" si="25"/>
        <v>0</v>
      </c>
      <c r="P111" s="479">
        <f t="shared" si="26"/>
        <v>0</v>
      </c>
    </row>
    <row r="112" spans="1:16" ht="12.5">
      <c r="B112" s="160" t="str">
        <f t="shared" si="27"/>
        <v/>
      </c>
      <c r="C112" s="473">
        <f>IF(D93="","-",+C111+1)</f>
        <v>2022</v>
      </c>
      <c r="D112" s="347">
        <f>IF(F111+SUM(E$99:E111)=D$92,F111,D$92-SUM(E$99:E111))</f>
        <v>8466852</v>
      </c>
      <c r="E112" s="487">
        <f>IF(+J96&lt;F111,J96,D112)</f>
        <v>266420</v>
      </c>
      <c r="F112" s="486">
        <f t="shared" si="35"/>
        <v>8200432</v>
      </c>
      <c r="G112" s="486">
        <f t="shared" si="36"/>
        <v>8333642</v>
      </c>
      <c r="H112" s="487">
        <f t="shared" si="38"/>
        <v>1227266.0111404858</v>
      </c>
      <c r="I112" s="543">
        <f t="shared" si="37"/>
        <v>1227266.0111404858</v>
      </c>
      <c r="J112" s="479">
        <f t="shared" si="21"/>
        <v>0</v>
      </c>
      <c r="K112" s="479"/>
      <c r="L112" s="488"/>
      <c r="M112" s="479">
        <f t="shared" si="23"/>
        <v>0</v>
      </c>
      <c r="N112" s="488"/>
      <c r="O112" s="479">
        <f t="shared" si="25"/>
        <v>0</v>
      </c>
      <c r="P112" s="479">
        <f t="shared" si="26"/>
        <v>0</v>
      </c>
    </row>
    <row r="113" spans="2:16" ht="12.5">
      <c r="B113" s="160" t="str">
        <f t="shared" si="27"/>
        <v/>
      </c>
      <c r="C113" s="473">
        <f>IF(D93="","-",+C112+1)</f>
        <v>2023</v>
      </c>
      <c r="D113" s="347">
        <f>IF(F112+SUM(E$99:E112)=D$92,F112,D$92-SUM(E$99:E112))</f>
        <v>8200432</v>
      </c>
      <c r="E113" s="487">
        <f>IF(+J96&lt;F112,J96,D113)</f>
        <v>266420</v>
      </c>
      <c r="F113" s="486">
        <f t="shared" si="35"/>
        <v>7934012</v>
      </c>
      <c r="G113" s="486">
        <f t="shared" si="36"/>
        <v>8067222</v>
      </c>
      <c r="H113" s="487">
        <f t="shared" si="38"/>
        <v>1196548.5176018807</v>
      </c>
      <c r="I113" s="543">
        <f t="shared" si="37"/>
        <v>1196548.5176018807</v>
      </c>
      <c r="J113" s="479">
        <f t="shared" si="21"/>
        <v>0</v>
      </c>
      <c r="K113" s="479"/>
      <c r="L113" s="488"/>
      <c r="M113" s="479">
        <f t="shared" si="23"/>
        <v>0</v>
      </c>
      <c r="N113" s="488"/>
      <c r="O113" s="479">
        <f t="shared" si="25"/>
        <v>0</v>
      </c>
      <c r="P113" s="479">
        <f t="shared" si="26"/>
        <v>0</v>
      </c>
    </row>
    <row r="114" spans="2:16" ht="12.5">
      <c r="B114" s="160" t="str">
        <f t="shared" si="27"/>
        <v/>
      </c>
      <c r="C114" s="473">
        <f>IF(D93="","-",+C113+1)</f>
        <v>2024</v>
      </c>
      <c r="D114" s="347">
        <f>IF(F113+SUM(E$99:E113)=D$92,F113,D$92-SUM(E$99:E113))</f>
        <v>7934012</v>
      </c>
      <c r="E114" s="487">
        <f>IF(+J96&lt;F113,J96,D114)</f>
        <v>266420</v>
      </c>
      <c r="F114" s="486">
        <f t="shared" si="35"/>
        <v>7667592</v>
      </c>
      <c r="G114" s="486">
        <f t="shared" si="36"/>
        <v>7800802</v>
      </c>
      <c r="H114" s="487">
        <f t="shared" si="38"/>
        <v>1165831.0240632754</v>
      </c>
      <c r="I114" s="543">
        <f t="shared" si="37"/>
        <v>1165831.0240632754</v>
      </c>
      <c r="J114" s="479">
        <f t="shared" si="21"/>
        <v>0</v>
      </c>
      <c r="K114" s="479"/>
      <c r="L114" s="488"/>
      <c r="M114" s="479">
        <f t="shared" si="23"/>
        <v>0</v>
      </c>
      <c r="N114" s="488"/>
      <c r="O114" s="479">
        <f t="shared" si="25"/>
        <v>0</v>
      </c>
      <c r="P114" s="479">
        <f t="shared" si="26"/>
        <v>0</v>
      </c>
    </row>
    <row r="115" spans="2:16" ht="12.5">
      <c r="B115" s="160" t="str">
        <f t="shared" si="27"/>
        <v/>
      </c>
      <c r="C115" s="473">
        <f>IF(D93="","-",+C114+1)</f>
        <v>2025</v>
      </c>
      <c r="D115" s="347">
        <f>IF(F114+SUM(E$99:E114)=D$92,F114,D$92-SUM(E$99:E114))</f>
        <v>7667592</v>
      </c>
      <c r="E115" s="487">
        <f>IF(+J96&lt;F114,J96,D115)</f>
        <v>266420</v>
      </c>
      <c r="F115" s="486">
        <f t="shared" si="35"/>
        <v>7401172</v>
      </c>
      <c r="G115" s="486">
        <f t="shared" si="36"/>
        <v>7534382</v>
      </c>
      <c r="H115" s="487">
        <f t="shared" si="38"/>
        <v>1135113.5305246704</v>
      </c>
      <c r="I115" s="543">
        <f t="shared" si="37"/>
        <v>1135113.5305246704</v>
      </c>
      <c r="J115" s="479">
        <f t="shared" si="21"/>
        <v>0</v>
      </c>
      <c r="K115" s="479"/>
      <c r="L115" s="488"/>
      <c r="M115" s="479">
        <f t="shared" si="23"/>
        <v>0</v>
      </c>
      <c r="N115" s="488"/>
      <c r="O115" s="479">
        <f t="shared" si="25"/>
        <v>0</v>
      </c>
      <c r="P115" s="479">
        <f t="shared" si="26"/>
        <v>0</v>
      </c>
    </row>
    <row r="116" spans="2:16" ht="12.5">
      <c r="B116" s="160" t="str">
        <f t="shared" si="27"/>
        <v/>
      </c>
      <c r="C116" s="473">
        <f>IF(D93="","-",+C115+1)</f>
        <v>2026</v>
      </c>
      <c r="D116" s="347">
        <f>IF(F115+SUM(E$99:E115)=D$92,F115,D$92-SUM(E$99:E115))</f>
        <v>7401172</v>
      </c>
      <c r="E116" s="487">
        <f>IF(+J96&lt;F115,J96,D116)</f>
        <v>266420</v>
      </c>
      <c r="F116" s="486">
        <f t="shared" si="35"/>
        <v>7134752</v>
      </c>
      <c r="G116" s="486">
        <f t="shared" si="36"/>
        <v>7267962</v>
      </c>
      <c r="H116" s="487">
        <f t="shared" si="38"/>
        <v>1104396.0369860651</v>
      </c>
      <c r="I116" s="543">
        <f t="shared" si="37"/>
        <v>1104396.0369860651</v>
      </c>
      <c r="J116" s="479">
        <f t="shared" si="21"/>
        <v>0</v>
      </c>
      <c r="K116" s="479"/>
      <c r="L116" s="488"/>
      <c r="M116" s="479">
        <f t="shared" si="23"/>
        <v>0</v>
      </c>
      <c r="N116" s="488"/>
      <c r="O116" s="479">
        <f t="shared" si="25"/>
        <v>0</v>
      </c>
      <c r="P116" s="479">
        <f t="shared" si="26"/>
        <v>0</v>
      </c>
    </row>
    <row r="117" spans="2:16" ht="12.5">
      <c r="B117" s="160" t="str">
        <f t="shared" si="27"/>
        <v/>
      </c>
      <c r="C117" s="473">
        <f>IF(D93="","-",+C116+1)</f>
        <v>2027</v>
      </c>
      <c r="D117" s="347">
        <f>IF(F116+SUM(E$99:E116)=D$92,F116,D$92-SUM(E$99:E116))</f>
        <v>7134752</v>
      </c>
      <c r="E117" s="487">
        <f>IF(+J96&lt;F116,J96,D117)</f>
        <v>266420</v>
      </c>
      <c r="F117" s="486">
        <f t="shared" si="35"/>
        <v>6868332</v>
      </c>
      <c r="G117" s="486">
        <f t="shared" si="36"/>
        <v>7001542</v>
      </c>
      <c r="H117" s="487">
        <f t="shared" si="38"/>
        <v>1073678.54344746</v>
      </c>
      <c r="I117" s="543">
        <f t="shared" si="37"/>
        <v>1073678.54344746</v>
      </c>
      <c r="J117" s="479">
        <f t="shared" si="21"/>
        <v>0</v>
      </c>
      <c r="K117" s="479"/>
      <c r="L117" s="488"/>
      <c r="M117" s="479">
        <f t="shared" si="23"/>
        <v>0</v>
      </c>
      <c r="N117" s="488"/>
      <c r="O117" s="479">
        <f t="shared" si="25"/>
        <v>0</v>
      </c>
      <c r="P117" s="479">
        <f t="shared" si="26"/>
        <v>0</v>
      </c>
    </row>
    <row r="118" spans="2:16" ht="12.5">
      <c r="B118" s="160" t="str">
        <f t="shared" si="27"/>
        <v/>
      </c>
      <c r="C118" s="473">
        <f>IF(D93="","-",+C117+1)</f>
        <v>2028</v>
      </c>
      <c r="D118" s="347">
        <f>IF(F117+SUM(E$99:E117)=D$92,F117,D$92-SUM(E$99:E117))</f>
        <v>6868332</v>
      </c>
      <c r="E118" s="487">
        <f>IF(+J96&lt;F117,J96,D118)</f>
        <v>266420</v>
      </c>
      <c r="F118" s="486">
        <f t="shared" si="35"/>
        <v>6601912</v>
      </c>
      <c r="G118" s="486">
        <f t="shared" si="36"/>
        <v>6735122</v>
      </c>
      <c r="H118" s="487">
        <f t="shared" si="38"/>
        <v>1042961.049908855</v>
      </c>
      <c r="I118" s="543">
        <f t="shared" si="37"/>
        <v>1042961.049908855</v>
      </c>
      <c r="J118" s="479">
        <f t="shared" si="21"/>
        <v>0</v>
      </c>
      <c r="K118" s="479"/>
      <c r="L118" s="488"/>
      <c r="M118" s="479">
        <f t="shared" si="23"/>
        <v>0</v>
      </c>
      <c r="N118" s="488"/>
      <c r="O118" s="479">
        <f t="shared" si="25"/>
        <v>0</v>
      </c>
      <c r="P118" s="479">
        <f t="shared" si="26"/>
        <v>0</v>
      </c>
    </row>
    <row r="119" spans="2:16" ht="12.5">
      <c r="B119" s="160" t="str">
        <f t="shared" si="27"/>
        <v/>
      </c>
      <c r="C119" s="473">
        <f>IF(D93="","-",+C118+1)</f>
        <v>2029</v>
      </c>
      <c r="D119" s="347">
        <f>IF(F118+SUM(E$99:E118)=D$92,F118,D$92-SUM(E$99:E118))</f>
        <v>6601912</v>
      </c>
      <c r="E119" s="487">
        <f>IF(+J96&lt;F118,J96,D119)</f>
        <v>266420</v>
      </c>
      <c r="F119" s="486">
        <f t="shared" si="35"/>
        <v>6335492</v>
      </c>
      <c r="G119" s="486">
        <f t="shared" si="36"/>
        <v>6468702</v>
      </c>
      <c r="H119" s="487">
        <f t="shared" si="38"/>
        <v>1012243.5563702498</v>
      </c>
      <c r="I119" s="543">
        <f t="shared" si="37"/>
        <v>1012243.5563702498</v>
      </c>
      <c r="J119" s="479">
        <f t="shared" si="21"/>
        <v>0</v>
      </c>
      <c r="K119" s="479"/>
      <c r="L119" s="488"/>
      <c r="M119" s="479">
        <f t="shared" si="23"/>
        <v>0</v>
      </c>
      <c r="N119" s="488"/>
      <c r="O119" s="479">
        <f t="shared" si="25"/>
        <v>0</v>
      </c>
      <c r="P119" s="479">
        <f t="shared" si="26"/>
        <v>0</v>
      </c>
    </row>
    <row r="120" spans="2:16" ht="12.5">
      <c r="B120" s="160" t="str">
        <f t="shared" si="27"/>
        <v/>
      </c>
      <c r="C120" s="473">
        <f>IF(D93="","-",+C119+1)</f>
        <v>2030</v>
      </c>
      <c r="D120" s="347">
        <f>IF(F119+SUM(E$99:E119)=D$92,F119,D$92-SUM(E$99:E119))</f>
        <v>6335492</v>
      </c>
      <c r="E120" s="487">
        <f>IF(+J96&lt;F119,J96,D120)</f>
        <v>266420</v>
      </c>
      <c r="F120" s="486">
        <f t="shared" si="35"/>
        <v>6069072</v>
      </c>
      <c r="G120" s="486">
        <f t="shared" si="36"/>
        <v>6202282</v>
      </c>
      <c r="H120" s="487">
        <f t="shared" si="38"/>
        <v>981526.06283164478</v>
      </c>
      <c r="I120" s="543">
        <f t="shared" si="37"/>
        <v>981526.06283164478</v>
      </c>
      <c r="J120" s="479">
        <f t="shared" si="21"/>
        <v>0</v>
      </c>
      <c r="K120" s="479"/>
      <c r="L120" s="488"/>
      <c r="M120" s="479">
        <f t="shared" si="23"/>
        <v>0</v>
      </c>
      <c r="N120" s="488"/>
      <c r="O120" s="479">
        <f t="shared" si="25"/>
        <v>0</v>
      </c>
      <c r="P120" s="479">
        <f t="shared" si="26"/>
        <v>0</v>
      </c>
    </row>
    <row r="121" spans="2:16" ht="12.5">
      <c r="B121" s="160" t="str">
        <f t="shared" si="27"/>
        <v/>
      </c>
      <c r="C121" s="473">
        <f>IF(D93="","-",+C120+1)</f>
        <v>2031</v>
      </c>
      <c r="D121" s="347">
        <f>IF(F120+SUM(E$99:E120)=D$92,F120,D$92-SUM(E$99:E120))</f>
        <v>6069072</v>
      </c>
      <c r="E121" s="487">
        <f>IF(+J96&lt;F120,J96,D121)</f>
        <v>266420</v>
      </c>
      <c r="F121" s="486">
        <f t="shared" si="35"/>
        <v>5802652</v>
      </c>
      <c r="G121" s="486">
        <f t="shared" si="36"/>
        <v>5935862</v>
      </c>
      <c r="H121" s="487">
        <f t="shared" si="38"/>
        <v>950808.56929303962</v>
      </c>
      <c r="I121" s="543">
        <f t="shared" si="37"/>
        <v>950808.56929303962</v>
      </c>
      <c r="J121" s="479">
        <f t="shared" si="21"/>
        <v>0</v>
      </c>
      <c r="K121" s="479"/>
      <c r="L121" s="488"/>
      <c r="M121" s="479">
        <f t="shared" si="23"/>
        <v>0</v>
      </c>
      <c r="N121" s="488"/>
      <c r="O121" s="479">
        <f t="shared" si="25"/>
        <v>0</v>
      </c>
      <c r="P121" s="479">
        <f t="shared" si="26"/>
        <v>0</v>
      </c>
    </row>
    <row r="122" spans="2:16" ht="12.5">
      <c r="B122" s="160" t="str">
        <f t="shared" si="27"/>
        <v/>
      </c>
      <c r="C122" s="473">
        <f>IF(D93="","-",+C121+1)</f>
        <v>2032</v>
      </c>
      <c r="D122" s="347">
        <f>IF(F121+SUM(E$99:E121)=D$92,F121,D$92-SUM(E$99:E121))</f>
        <v>5802652</v>
      </c>
      <c r="E122" s="487">
        <f>IF(+J96&lt;F121,J96,D122)</f>
        <v>266420</v>
      </c>
      <c r="F122" s="486">
        <f t="shared" si="35"/>
        <v>5536232</v>
      </c>
      <c r="G122" s="486">
        <f t="shared" si="36"/>
        <v>5669442</v>
      </c>
      <c r="H122" s="487">
        <f t="shared" si="38"/>
        <v>920091.07575443457</v>
      </c>
      <c r="I122" s="543">
        <f t="shared" si="37"/>
        <v>920091.07575443457</v>
      </c>
      <c r="J122" s="479">
        <f t="shared" si="21"/>
        <v>0</v>
      </c>
      <c r="K122" s="479"/>
      <c r="L122" s="488"/>
      <c r="M122" s="479">
        <f t="shared" si="23"/>
        <v>0</v>
      </c>
      <c r="N122" s="488"/>
      <c r="O122" s="479">
        <f t="shared" si="25"/>
        <v>0</v>
      </c>
      <c r="P122" s="479">
        <f t="shared" si="26"/>
        <v>0</v>
      </c>
    </row>
    <row r="123" spans="2:16" ht="12.5">
      <c r="B123" s="160" t="str">
        <f t="shared" si="27"/>
        <v/>
      </c>
      <c r="C123" s="473">
        <f>IF(D93="","-",+C122+1)</f>
        <v>2033</v>
      </c>
      <c r="D123" s="347">
        <f>IF(F122+SUM(E$99:E122)=D$92,F122,D$92-SUM(E$99:E122))</f>
        <v>5536232</v>
      </c>
      <c r="E123" s="487">
        <f>IF(+J96&lt;F122,J96,D123)</f>
        <v>266420</v>
      </c>
      <c r="F123" s="486">
        <f t="shared" si="35"/>
        <v>5269812</v>
      </c>
      <c r="G123" s="486">
        <f t="shared" si="36"/>
        <v>5403022</v>
      </c>
      <c r="H123" s="487">
        <f t="shared" si="38"/>
        <v>889373.5822158294</v>
      </c>
      <c r="I123" s="543">
        <f t="shared" si="37"/>
        <v>889373.5822158294</v>
      </c>
      <c r="J123" s="479">
        <f t="shared" si="21"/>
        <v>0</v>
      </c>
      <c r="K123" s="479"/>
      <c r="L123" s="488"/>
      <c r="M123" s="479">
        <f t="shared" si="23"/>
        <v>0</v>
      </c>
      <c r="N123" s="488"/>
      <c r="O123" s="479">
        <f t="shared" si="25"/>
        <v>0</v>
      </c>
      <c r="P123" s="479">
        <f t="shared" si="26"/>
        <v>0</v>
      </c>
    </row>
    <row r="124" spans="2:16" ht="12.5">
      <c r="B124" s="160" t="str">
        <f t="shared" si="27"/>
        <v/>
      </c>
      <c r="C124" s="473">
        <f>IF(D93="","-",+C123+1)</f>
        <v>2034</v>
      </c>
      <c r="D124" s="347">
        <f>IF(F123+SUM(E$99:E123)=D$92,F123,D$92-SUM(E$99:E123))</f>
        <v>5269812</v>
      </c>
      <c r="E124" s="487">
        <f>IF(+J96&lt;F123,J96,D124)</f>
        <v>266420</v>
      </c>
      <c r="F124" s="486">
        <f t="shared" si="35"/>
        <v>5003392</v>
      </c>
      <c r="G124" s="486">
        <f t="shared" si="36"/>
        <v>5136602</v>
      </c>
      <c r="H124" s="487">
        <f t="shared" si="38"/>
        <v>858656.08867722435</v>
      </c>
      <c r="I124" s="543">
        <f t="shared" si="37"/>
        <v>858656.08867722435</v>
      </c>
      <c r="J124" s="479">
        <f t="shared" si="21"/>
        <v>0</v>
      </c>
      <c r="K124" s="479"/>
      <c r="L124" s="488"/>
      <c r="M124" s="479">
        <f t="shared" si="23"/>
        <v>0</v>
      </c>
      <c r="N124" s="488"/>
      <c r="O124" s="479">
        <f t="shared" si="25"/>
        <v>0</v>
      </c>
      <c r="P124" s="479">
        <f t="shared" si="26"/>
        <v>0</v>
      </c>
    </row>
    <row r="125" spans="2:16" ht="12.5">
      <c r="B125" s="160" t="str">
        <f t="shared" si="27"/>
        <v/>
      </c>
      <c r="C125" s="473">
        <f>IF(D93="","-",+C124+1)</f>
        <v>2035</v>
      </c>
      <c r="D125" s="347">
        <f>IF(F124+SUM(E$99:E124)=D$92,F124,D$92-SUM(E$99:E124))</f>
        <v>5003392</v>
      </c>
      <c r="E125" s="487">
        <f>IF(+J96&lt;F124,J96,D125)</f>
        <v>266420</v>
      </c>
      <c r="F125" s="486">
        <f t="shared" si="35"/>
        <v>4736972</v>
      </c>
      <c r="G125" s="486">
        <f t="shared" si="36"/>
        <v>4870182</v>
      </c>
      <c r="H125" s="487">
        <f t="shared" si="38"/>
        <v>827938.59513861919</v>
      </c>
      <c r="I125" s="543">
        <f t="shared" si="37"/>
        <v>827938.59513861919</v>
      </c>
      <c r="J125" s="479">
        <f t="shared" si="21"/>
        <v>0</v>
      </c>
      <c r="K125" s="479"/>
      <c r="L125" s="488"/>
      <c r="M125" s="479">
        <f t="shared" si="23"/>
        <v>0</v>
      </c>
      <c r="N125" s="488"/>
      <c r="O125" s="479">
        <f t="shared" si="25"/>
        <v>0</v>
      </c>
      <c r="P125" s="479">
        <f t="shared" si="26"/>
        <v>0</v>
      </c>
    </row>
    <row r="126" spans="2:16" ht="12.5">
      <c r="B126" s="160" t="str">
        <f t="shared" si="27"/>
        <v/>
      </c>
      <c r="C126" s="473">
        <f>IF(D93="","-",+C125+1)</f>
        <v>2036</v>
      </c>
      <c r="D126" s="347">
        <f>IF(F125+SUM(E$99:E125)=D$92,F125,D$92-SUM(E$99:E125))</f>
        <v>4736972</v>
      </c>
      <c r="E126" s="487">
        <f>IF(+J96&lt;F125,J96,D126)</f>
        <v>266420</v>
      </c>
      <c r="F126" s="486">
        <f t="shared" si="35"/>
        <v>4470552</v>
      </c>
      <c r="G126" s="486">
        <f t="shared" si="36"/>
        <v>4603762</v>
      </c>
      <c r="H126" s="487">
        <f t="shared" si="38"/>
        <v>797221.10160001414</v>
      </c>
      <c r="I126" s="543">
        <f t="shared" si="37"/>
        <v>797221.10160001414</v>
      </c>
      <c r="J126" s="479">
        <f t="shared" si="21"/>
        <v>0</v>
      </c>
      <c r="K126" s="479"/>
      <c r="L126" s="488"/>
      <c r="M126" s="479">
        <f t="shared" si="23"/>
        <v>0</v>
      </c>
      <c r="N126" s="488"/>
      <c r="O126" s="479">
        <f t="shared" si="25"/>
        <v>0</v>
      </c>
      <c r="P126" s="479">
        <f t="shared" si="26"/>
        <v>0</v>
      </c>
    </row>
    <row r="127" spans="2:16" ht="12.5">
      <c r="B127" s="160" t="str">
        <f t="shared" si="27"/>
        <v/>
      </c>
      <c r="C127" s="473">
        <f>IF(D93="","-",+C126+1)</f>
        <v>2037</v>
      </c>
      <c r="D127" s="347">
        <f>IF(F126+SUM(E$99:E126)=D$92,F126,D$92-SUM(E$99:E126))</f>
        <v>4470552</v>
      </c>
      <c r="E127" s="487">
        <f>IF(+J96&lt;F126,J96,D127)</f>
        <v>266420</v>
      </c>
      <c r="F127" s="486">
        <f t="shared" si="35"/>
        <v>4204132</v>
      </c>
      <c r="G127" s="486">
        <f t="shared" si="36"/>
        <v>4337342</v>
      </c>
      <c r="H127" s="487">
        <f t="shared" si="38"/>
        <v>766503.60806140897</v>
      </c>
      <c r="I127" s="543">
        <f t="shared" si="37"/>
        <v>766503.60806140897</v>
      </c>
      <c r="J127" s="479">
        <f t="shared" si="21"/>
        <v>0</v>
      </c>
      <c r="K127" s="479"/>
      <c r="L127" s="488"/>
      <c r="M127" s="479">
        <f t="shared" si="23"/>
        <v>0</v>
      </c>
      <c r="N127" s="488"/>
      <c r="O127" s="479">
        <f t="shared" si="25"/>
        <v>0</v>
      </c>
      <c r="P127" s="479">
        <f t="shared" si="26"/>
        <v>0</v>
      </c>
    </row>
    <row r="128" spans="2:16" ht="12.5">
      <c r="B128" s="160" t="str">
        <f t="shared" si="27"/>
        <v/>
      </c>
      <c r="C128" s="473">
        <f>IF(D93="","-",+C127+1)</f>
        <v>2038</v>
      </c>
      <c r="D128" s="347">
        <f>IF(F127+SUM(E$99:E127)=D$92,F127,D$92-SUM(E$99:E127))</f>
        <v>4204132</v>
      </c>
      <c r="E128" s="487">
        <f>IF(+J96&lt;F127,J96,D128)</f>
        <v>266420</v>
      </c>
      <c r="F128" s="486">
        <f t="shared" si="35"/>
        <v>3937712</v>
      </c>
      <c r="G128" s="486">
        <f t="shared" si="36"/>
        <v>4070922</v>
      </c>
      <c r="H128" s="487">
        <f t="shared" si="38"/>
        <v>735786.11452280381</v>
      </c>
      <c r="I128" s="543">
        <f t="shared" si="37"/>
        <v>735786.11452280381</v>
      </c>
      <c r="J128" s="479">
        <f t="shared" si="21"/>
        <v>0</v>
      </c>
      <c r="K128" s="479"/>
      <c r="L128" s="488"/>
      <c r="M128" s="479">
        <f t="shared" si="23"/>
        <v>0</v>
      </c>
      <c r="N128" s="488"/>
      <c r="O128" s="479">
        <f t="shared" si="25"/>
        <v>0</v>
      </c>
      <c r="P128" s="479">
        <f t="shared" si="26"/>
        <v>0</v>
      </c>
    </row>
    <row r="129" spans="2:16" ht="12.5">
      <c r="B129" s="160" t="str">
        <f t="shared" si="27"/>
        <v/>
      </c>
      <c r="C129" s="473">
        <f>IF(D93="","-",+C128+1)</f>
        <v>2039</v>
      </c>
      <c r="D129" s="347">
        <f>IF(F128+SUM(E$99:E128)=D$92,F128,D$92-SUM(E$99:E128))</f>
        <v>3937712</v>
      </c>
      <c r="E129" s="487">
        <f>IF(+J96&lt;F128,J96,D129)</f>
        <v>266420</v>
      </c>
      <c r="F129" s="486">
        <f t="shared" si="35"/>
        <v>3671292</v>
      </c>
      <c r="G129" s="486">
        <f t="shared" si="36"/>
        <v>3804502</v>
      </c>
      <c r="H129" s="487">
        <f t="shared" si="38"/>
        <v>705068.62098419876</v>
      </c>
      <c r="I129" s="543">
        <f t="shared" si="37"/>
        <v>705068.62098419876</v>
      </c>
      <c r="J129" s="479">
        <f t="shared" si="21"/>
        <v>0</v>
      </c>
      <c r="K129" s="479"/>
      <c r="L129" s="488"/>
      <c r="M129" s="479">
        <f t="shared" si="23"/>
        <v>0</v>
      </c>
      <c r="N129" s="488"/>
      <c r="O129" s="479">
        <f t="shared" si="25"/>
        <v>0</v>
      </c>
      <c r="P129" s="479">
        <f t="shared" si="26"/>
        <v>0</v>
      </c>
    </row>
    <row r="130" spans="2:16" ht="12.5">
      <c r="B130" s="160" t="str">
        <f t="shared" si="27"/>
        <v/>
      </c>
      <c r="C130" s="473">
        <f>IF(D93="","-",+C129+1)</f>
        <v>2040</v>
      </c>
      <c r="D130" s="347">
        <f>IF(F129+SUM(E$99:E129)=D$92,F129,D$92-SUM(E$99:E129))</f>
        <v>3671292</v>
      </c>
      <c r="E130" s="487">
        <f>IF(+J96&lt;F129,J96,D130)</f>
        <v>266420</v>
      </c>
      <c r="F130" s="486">
        <f t="shared" si="35"/>
        <v>3404872</v>
      </c>
      <c r="G130" s="486">
        <f t="shared" si="36"/>
        <v>3538082</v>
      </c>
      <c r="H130" s="487">
        <f t="shared" si="38"/>
        <v>674351.12744559371</v>
      </c>
      <c r="I130" s="543">
        <f t="shared" si="37"/>
        <v>674351.12744559371</v>
      </c>
      <c r="J130" s="479">
        <f t="shared" si="21"/>
        <v>0</v>
      </c>
      <c r="K130" s="479"/>
      <c r="L130" s="488"/>
      <c r="M130" s="479">
        <f t="shared" si="23"/>
        <v>0</v>
      </c>
      <c r="N130" s="488"/>
      <c r="O130" s="479">
        <f t="shared" si="25"/>
        <v>0</v>
      </c>
      <c r="P130" s="479">
        <f t="shared" si="26"/>
        <v>0</v>
      </c>
    </row>
    <row r="131" spans="2:16" ht="12.5">
      <c r="B131" s="160" t="str">
        <f t="shared" si="27"/>
        <v/>
      </c>
      <c r="C131" s="473">
        <f>IF(D93="","-",+C130+1)</f>
        <v>2041</v>
      </c>
      <c r="D131" s="347">
        <f>IF(F130+SUM(E$99:E130)=D$92,F130,D$92-SUM(E$99:E130))</f>
        <v>3404872</v>
      </c>
      <c r="E131" s="487">
        <f>IF(+J96&lt;F130,J96,D131)</f>
        <v>266420</v>
      </c>
      <c r="F131" s="486">
        <f t="shared" ref="F131:F154" si="39">+D131-E131</f>
        <v>3138452</v>
      </c>
      <c r="G131" s="486">
        <f t="shared" ref="G131:G154" si="40">+(F131+D131)/2</f>
        <v>3271662</v>
      </c>
      <c r="H131" s="487">
        <f t="shared" si="38"/>
        <v>643633.63390698854</v>
      </c>
      <c r="I131" s="543">
        <f t="shared" si="37"/>
        <v>643633.63390698854</v>
      </c>
      <c r="J131" s="479">
        <f t="shared" ref="J131:J154" si="41">+I131-H131</f>
        <v>0</v>
      </c>
      <c r="K131" s="479"/>
      <c r="L131" s="488"/>
      <c r="M131" s="479">
        <f t="shared" ref="M131:M154" si="42">IF(L131&lt;&gt;0,+H131-L131,0)</f>
        <v>0</v>
      </c>
      <c r="N131" s="488"/>
      <c r="O131" s="479">
        <f t="shared" ref="O131:O154" si="43">IF(N131&lt;&gt;0,+I131-N131,0)</f>
        <v>0</v>
      </c>
      <c r="P131" s="479">
        <f t="shared" ref="P131:P154" si="44">+O131-M131</f>
        <v>0</v>
      </c>
    </row>
    <row r="132" spans="2:16" ht="12.5">
      <c r="B132" s="160" t="str">
        <f t="shared" si="27"/>
        <v/>
      </c>
      <c r="C132" s="473">
        <f>IF(D93="","-",+C131+1)</f>
        <v>2042</v>
      </c>
      <c r="D132" s="347">
        <f>IF(F131+SUM(E$99:E131)=D$92,F131,D$92-SUM(E$99:E131))</f>
        <v>3138452</v>
      </c>
      <c r="E132" s="487">
        <f>IF(+J96&lt;F131,J96,D132)</f>
        <v>266420</v>
      </c>
      <c r="F132" s="486">
        <f t="shared" si="39"/>
        <v>2872032</v>
      </c>
      <c r="G132" s="486">
        <f t="shared" si="40"/>
        <v>3005242</v>
      </c>
      <c r="H132" s="487">
        <f t="shared" si="38"/>
        <v>612916.14036838338</v>
      </c>
      <c r="I132" s="543">
        <f t="shared" si="37"/>
        <v>612916.14036838338</v>
      </c>
      <c r="J132" s="479">
        <f t="shared" si="41"/>
        <v>0</v>
      </c>
      <c r="K132" s="479"/>
      <c r="L132" s="488"/>
      <c r="M132" s="479">
        <f t="shared" si="42"/>
        <v>0</v>
      </c>
      <c r="N132" s="488"/>
      <c r="O132" s="479">
        <f t="shared" si="43"/>
        <v>0</v>
      </c>
      <c r="P132" s="479">
        <f t="shared" si="44"/>
        <v>0</v>
      </c>
    </row>
    <row r="133" spans="2:16" ht="12.5">
      <c r="B133" s="160" t="str">
        <f t="shared" si="27"/>
        <v/>
      </c>
      <c r="C133" s="473">
        <f>IF(D93="","-",+C132+1)</f>
        <v>2043</v>
      </c>
      <c r="D133" s="347">
        <f>IF(F132+SUM(E$99:E132)=D$92,F132,D$92-SUM(E$99:E132))</f>
        <v>2872032</v>
      </c>
      <c r="E133" s="487">
        <f>IF(+J96&lt;F132,J96,D133)</f>
        <v>266420</v>
      </c>
      <c r="F133" s="486">
        <f t="shared" si="39"/>
        <v>2605612</v>
      </c>
      <c r="G133" s="486">
        <f t="shared" si="40"/>
        <v>2738822</v>
      </c>
      <c r="H133" s="487">
        <f t="shared" si="38"/>
        <v>582198.64682977833</v>
      </c>
      <c r="I133" s="543">
        <f t="shared" si="37"/>
        <v>582198.64682977833</v>
      </c>
      <c r="J133" s="479">
        <f t="shared" si="41"/>
        <v>0</v>
      </c>
      <c r="K133" s="479"/>
      <c r="L133" s="488"/>
      <c r="M133" s="479">
        <f t="shared" si="42"/>
        <v>0</v>
      </c>
      <c r="N133" s="488"/>
      <c r="O133" s="479">
        <f t="shared" si="43"/>
        <v>0</v>
      </c>
      <c r="P133" s="479">
        <f t="shared" si="44"/>
        <v>0</v>
      </c>
    </row>
    <row r="134" spans="2:16" ht="12.5">
      <c r="B134" s="160" t="str">
        <f t="shared" si="27"/>
        <v/>
      </c>
      <c r="C134" s="473">
        <f>IF(D93="","-",+C133+1)</f>
        <v>2044</v>
      </c>
      <c r="D134" s="347">
        <f>IF(F133+SUM(E$99:E133)=D$92,F133,D$92-SUM(E$99:E133))</f>
        <v>2605612</v>
      </c>
      <c r="E134" s="487">
        <f>IF(+J96&lt;F133,J96,D134)</f>
        <v>266420</v>
      </c>
      <c r="F134" s="486">
        <f t="shared" si="39"/>
        <v>2339192</v>
      </c>
      <c r="G134" s="486">
        <f t="shared" si="40"/>
        <v>2472402</v>
      </c>
      <c r="H134" s="487">
        <f t="shared" si="38"/>
        <v>551481.15329117316</v>
      </c>
      <c r="I134" s="543">
        <f t="shared" si="37"/>
        <v>551481.15329117316</v>
      </c>
      <c r="J134" s="479">
        <f t="shared" si="41"/>
        <v>0</v>
      </c>
      <c r="K134" s="479"/>
      <c r="L134" s="488"/>
      <c r="M134" s="479">
        <f t="shared" si="42"/>
        <v>0</v>
      </c>
      <c r="N134" s="488"/>
      <c r="O134" s="479">
        <f t="shared" si="43"/>
        <v>0</v>
      </c>
      <c r="P134" s="479">
        <f t="shared" si="44"/>
        <v>0</v>
      </c>
    </row>
    <row r="135" spans="2:16" ht="12.5">
      <c r="B135" s="160" t="str">
        <f t="shared" si="27"/>
        <v/>
      </c>
      <c r="C135" s="473">
        <f>IF(D93="","-",+C134+1)</f>
        <v>2045</v>
      </c>
      <c r="D135" s="347">
        <f>IF(F134+SUM(E$99:E134)=D$92,F134,D$92-SUM(E$99:E134))</f>
        <v>2339192</v>
      </c>
      <c r="E135" s="487">
        <f>IF(+J96&lt;F134,J96,D135)</f>
        <v>266420</v>
      </c>
      <c r="F135" s="486">
        <f t="shared" si="39"/>
        <v>2072772</v>
      </c>
      <c r="G135" s="486">
        <f t="shared" si="40"/>
        <v>2205982</v>
      </c>
      <c r="H135" s="487">
        <f t="shared" si="38"/>
        <v>520763.65975256806</v>
      </c>
      <c r="I135" s="543">
        <f t="shared" si="37"/>
        <v>520763.65975256806</v>
      </c>
      <c r="J135" s="479">
        <f t="shared" si="41"/>
        <v>0</v>
      </c>
      <c r="K135" s="479"/>
      <c r="L135" s="488"/>
      <c r="M135" s="479">
        <f t="shared" si="42"/>
        <v>0</v>
      </c>
      <c r="N135" s="488"/>
      <c r="O135" s="479">
        <f t="shared" si="43"/>
        <v>0</v>
      </c>
      <c r="P135" s="479">
        <f t="shared" si="44"/>
        <v>0</v>
      </c>
    </row>
    <row r="136" spans="2:16" ht="12.5">
      <c r="B136" s="160" t="str">
        <f t="shared" si="27"/>
        <v/>
      </c>
      <c r="C136" s="473">
        <f>IF(D93="","-",+C135+1)</f>
        <v>2046</v>
      </c>
      <c r="D136" s="347">
        <f>IF(F135+SUM(E$99:E135)=D$92,F135,D$92-SUM(E$99:E135))</f>
        <v>2072772</v>
      </c>
      <c r="E136" s="487">
        <f>IF(+J96&lt;F135,J96,D136)</f>
        <v>266420</v>
      </c>
      <c r="F136" s="486">
        <f t="shared" si="39"/>
        <v>1806352</v>
      </c>
      <c r="G136" s="486">
        <f t="shared" si="40"/>
        <v>1939562</v>
      </c>
      <c r="H136" s="487">
        <f t="shared" si="38"/>
        <v>490046.16621396295</v>
      </c>
      <c r="I136" s="543">
        <f t="shared" si="37"/>
        <v>490046.16621396295</v>
      </c>
      <c r="J136" s="479">
        <f t="shared" si="41"/>
        <v>0</v>
      </c>
      <c r="K136" s="479"/>
      <c r="L136" s="488"/>
      <c r="M136" s="479">
        <f t="shared" si="42"/>
        <v>0</v>
      </c>
      <c r="N136" s="488"/>
      <c r="O136" s="479">
        <f t="shared" si="43"/>
        <v>0</v>
      </c>
      <c r="P136" s="479">
        <f t="shared" si="44"/>
        <v>0</v>
      </c>
    </row>
    <row r="137" spans="2:16" ht="12.5">
      <c r="B137" s="160" t="str">
        <f t="shared" si="27"/>
        <v/>
      </c>
      <c r="C137" s="473">
        <f>IF(D93="","-",+C136+1)</f>
        <v>2047</v>
      </c>
      <c r="D137" s="347">
        <f>IF(F136+SUM(E$99:E136)=D$92,F136,D$92-SUM(E$99:E136))</f>
        <v>1806352</v>
      </c>
      <c r="E137" s="487">
        <f>IF(+J96&lt;F136,J96,D137)</f>
        <v>266420</v>
      </c>
      <c r="F137" s="486">
        <f t="shared" si="39"/>
        <v>1539932</v>
      </c>
      <c r="G137" s="486">
        <f t="shared" si="40"/>
        <v>1673142</v>
      </c>
      <c r="H137" s="487">
        <f t="shared" si="38"/>
        <v>459328.67267535784</v>
      </c>
      <c r="I137" s="543">
        <f t="shared" si="37"/>
        <v>459328.67267535784</v>
      </c>
      <c r="J137" s="479">
        <f t="shared" si="41"/>
        <v>0</v>
      </c>
      <c r="K137" s="479"/>
      <c r="L137" s="488"/>
      <c r="M137" s="479">
        <f t="shared" si="42"/>
        <v>0</v>
      </c>
      <c r="N137" s="488"/>
      <c r="O137" s="479">
        <f t="shared" si="43"/>
        <v>0</v>
      </c>
      <c r="P137" s="479">
        <f t="shared" si="44"/>
        <v>0</v>
      </c>
    </row>
    <row r="138" spans="2:16" ht="12.5">
      <c r="B138" s="160" t="str">
        <f t="shared" si="27"/>
        <v/>
      </c>
      <c r="C138" s="473">
        <f>IF(D93="","-",+C137+1)</f>
        <v>2048</v>
      </c>
      <c r="D138" s="347">
        <f>IF(F137+SUM(E$99:E137)=D$92,F137,D$92-SUM(E$99:E137))</f>
        <v>1539932</v>
      </c>
      <c r="E138" s="487">
        <f>IF(+J96&lt;F137,J96,D138)</f>
        <v>266420</v>
      </c>
      <c r="F138" s="486">
        <f t="shared" si="39"/>
        <v>1273512</v>
      </c>
      <c r="G138" s="486">
        <f t="shared" si="40"/>
        <v>1406722</v>
      </c>
      <c r="H138" s="487">
        <f t="shared" si="38"/>
        <v>428611.17913675273</v>
      </c>
      <c r="I138" s="543">
        <f t="shared" si="37"/>
        <v>428611.17913675273</v>
      </c>
      <c r="J138" s="479">
        <f t="shared" si="41"/>
        <v>0</v>
      </c>
      <c r="K138" s="479"/>
      <c r="L138" s="488"/>
      <c r="M138" s="479">
        <f t="shared" si="42"/>
        <v>0</v>
      </c>
      <c r="N138" s="488"/>
      <c r="O138" s="479">
        <f t="shared" si="43"/>
        <v>0</v>
      </c>
      <c r="P138" s="479">
        <f t="shared" si="44"/>
        <v>0</v>
      </c>
    </row>
    <row r="139" spans="2:16" ht="12.5">
      <c r="B139" s="160" t="str">
        <f t="shared" si="27"/>
        <v/>
      </c>
      <c r="C139" s="473">
        <f>IF(D93="","-",+C138+1)</f>
        <v>2049</v>
      </c>
      <c r="D139" s="347">
        <f>IF(F138+SUM(E$99:E138)=D$92,F138,D$92-SUM(E$99:E138))</f>
        <v>1273512</v>
      </c>
      <c r="E139" s="487">
        <f>IF(+J96&lt;F138,J96,D139)</f>
        <v>266420</v>
      </c>
      <c r="F139" s="486">
        <f t="shared" si="39"/>
        <v>1007092</v>
      </c>
      <c r="G139" s="486">
        <f t="shared" si="40"/>
        <v>1140302</v>
      </c>
      <c r="H139" s="487">
        <f t="shared" si="38"/>
        <v>397893.68559814763</v>
      </c>
      <c r="I139" s="543">
        <f t="shared" si="37"/>
        <v>397893.68559814763</v>
      </c>
      <c r="J139" s="479">
        <f t="shared" si="41"/>
        <v>0</v>
      </c>
      <c r="K139" s="479"/>
      <c r="L139" s="488"/>
      <c r="M139" s="479">
        <f t="shared" si="42"/>
        <v>0</v>
      </c>
      <c r="N139" s="488"/>
      <c r="O139" s="479">
        <f t="shared" si="43"/>
        <v>0</v>
      </c>
      <c r="P139" s="479">
        <f t="shared" si="44"/>
        <v>0</v>
      </c>
    </row>
    <row r="140" spans="2:16" ht="12.5">
      <c r="B140" s="160" t="str">
        <f t="shared" si="27"/>
        <v/>
      </c>
      <c r="C140" s="473">
        <f>IF(D93="","-",+C139+1)</f>
        <v>2050</v>
      </c>
      <c r="D140" s="347">
        <f>IF(F139+SUM(E$99:E139)=D$92,F139,D$92-SUM(E$99:E139))</f>
        <v>1007092</v>
      </c>
      <c r="E140" s="487">
        <f>IF(+J96&lt;F139,J96,D140)</f>
        <v>266420</v>
      </c>
      <c r="F140" s="486">
        <f t="shared" si="39"/>
        <v>740672</v>
      </c>
      <c r="G140" s="486">
        <f t="shared" si="40"/>
        <v>873882</v>
      </c>
      <c r="H140" s="487">
        <f t="shared" si="38"/>
        <v>367176.19205954252</v>
      </c>
      <c r="I140" s="543">
        <f t="shared" si="37"/>
        <v>367176.19205954252</v>
      </c>
      <c r="J140" s="479">
        <f t="shared" si="41"/>
        <v>0</v>
      </c>
      <c r="K140" s="479"/>
      <c r="L140" s="488"/>
      <c r="M140" s="479">
        <f t="shared" si="42"/>
        <v>0</v>
      </c>
      <c r="N140" s="488"/>
      <c r="O140" s="479">
        <f t="shared" si="43"/>
        <v>0</v>
      </c>
      <c r="P140" s="479">
        <f t="shared" si="44"/>
        <v>0</v>
      </c>
    </row>
    <row r="141" spans="2:16" ht="12.5">
      <c r="B141" s="160" t="str">
        <f t="shared" si="27"/>
        <v/>
      </c>
      <c r="C141" s="473">
        <f>IF(D93="","-",+C140+1)</f>
        <v>2051</v>
      </c>
      <c r="D141" s="347">
        <f>IF(F140+SUM(E$99:E140)=D$92,F140,D$92-SUM(E$99:E140))</f>
        <v>740672</v>
      </c>
      <c r="E141" s="487">
        <f>IF(+J96&lt;F140,J96,D141)</f>
        <v>266420</v>
      </c>
      <c r="F141" s="486">
        <f t="shared" si="39"/>
        <v>474252</v>
      </c>
      <c r="G141" s="486">
        <f t="shared" si="40"/>
        <v>607462</v>
      </c>
      <c r="H141" s="487">
        <f t="shared" si="38"/>
        <v>336458.69852093741</v>
      </c>
      <c r="I141" s="543">
        <f t="shared" si="37"/>
        <v>336458.69852093741</v>
      </c>
      <c r="J141" s="479">
        <f t="shared" si="41"/>
        <v>0</v>
      </c>
      <c r="K141" s="479"/>
      <c r="L141" s="488"/>
      <c r="M141" s="479">
        <f t="shared" si="42"/>
        <v>0</v>
      </c>
      <c r="N141" s="488"/>
      <c r="O141" s="479">
        <f t="shared" si="43"/>
        <v>0</v>
      </c>
      <c r="P141" s="479">
        <f t="shared" si="44"/>
        <v>0</v>
      </c>
    </row>
    <row r="142" spans="2:16" ht="12.5">
      <c r="B142" s="160" t="str">
        <f t="shared" si="27"/>
        <v/>
      </c>
      <c r="C142" s="473">
        <f>IF(D93="","-",+C141+1)</f>
        <v>2052</v>
      </c>
      <c r="D142" s="347">
        <f>IF(F141+SUM(E$99:E141)=D$92,F141,D$92-SUM(E$99:E141))</f>
        <v>474252</v>
      </c>
      <c r="E142" s="487">
        <f>IF(+J96&lt;F141,J96,D142)</f>
        <v>266420</v>
      </c>
      <c r="F142" s="486">
        <f t="shared" si="39"/>
        <v>207832</v>
      </c>
      <c r="G142" s="486">
        <f t="shared" si="40"/>
        <v>341042</v>
      </c>
      <c r="H142" s="487">
        <f t="shared" si="38"/>
        <v>305741.2049823323</v>
      </c>
      <c r="I142" s="543">
        <f t="shared" si="37"/>
        <v>305741.2049823323</v>
      </c>
      <c r="J142" s="479">
        <f t="shared" si="41"/>
        <v>0</v>
      </c>
      <c r="K142" s="479"/>
      <c r="L142" s="488"/>
      <c r="M142" s="479">
        <f t="shared" si="42"/>
        <v>0</v>
      </c>
      <c r="N142" s="488"/>
      <c r="O142" s="479">
        <f t="shared" si="43"/>
        <v>0</v>
      </c>
      <c r="P142" s="479">
        <f t="shared" si="44"/>
        <v>0</v>
      </c>
    </row>
    <row r="143" spans="2:16" ht="12.5">
      <c r="B143" s="160" t="str">
        <f t="shared" si="27"/>
        <v/>
      </c>
      <c r="C143" s="473">
        <f>IF(D93="","-",+C142+1)</f>
        <v>2053</v>
      </c>
      <c r="D143" s="347">
        <f>IF(F142+SUM(E$99:E142)=D$92,F142,D$92-SUM(E$99:E142))</f>
        <v>207832</v>
      </c>
      <c r="E143" s="487">
        <f>IF(+J96&lt;F142,J96,D143)</f>
        <v>207832</v>
      </c>
      <c r="F143" s="486">
        <f t="shared" si="39"/>
        <v>0</v>
      </c>
      <c r="G143" s="486">
        <f t="shared" si="40"/>
        <v>103916</v>
      </c>
      <c r="H143" s="487">
        <f t="shared" si="38"/>
        <v>219813.22910651486</v>
      </c>
      <c r="I143" s="543">
        <f t="shared" si="37"/>
        <v>219813.22910651486</v>
      </c>
      <c r="J143" s="479">
        <f t="shared" si="41"/>
        <v>0</v>
      </c>
      <c r="K143" s="479"/>
      <c r="L143" s="488"/>
      <c r="M143" s="479">
        <f t="shared" si="42"/>
        <v>0</v>
      </c>
      <c r="N143" s="488"/>
      <c r="O143" s="479">
        <f t="shared" si="43"/>
        <v>0</v>
      </c>
      <c r="P143" s="479">
        <f t="shared" si="44"/>
        <v>0</v>
      </c>
    </row>
    <row r="144" spans="2:16" ht="12.5">
      <c r="B144" s="160" t="str">
        <f t="shared" si="27"/>
        <v/>
      </c>
      <c r="C144" s="473">
        <f>IF(D93="","-",+C143+1)</f>
        <v>2054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9"/>
        <v>0</v>
      </c>
      <c r="G144" s="486">
        <f t="shared" si="40"/>
        <v>0</v>
      </c>
      <c r="H144" s="487">
        <f t="shared" si="38"/>
        <v>0</v>
      </c>
      <c r="I144" s="543">
        <f t="shared" si="37"/>
        <v>0</v>
      </c>
      <c r="J144" s="479">
        <f t="shared" si="41"/>
        <v>0</v>
      </c>
      <c r="K144" s="479"/>
      <c r="L144" s="488"/>
      <c r="M144" s="479">
        <f t="shared" si="42"/>
        <v>0</v>
      </c>
      <c r="N144" s="488"/>
      <c r="O144" s="479">
        <f t="shared" si="43"/>
        <v>0</v>
      </c>
      <c r="P144" s="479">
        <f t="shared" si="44"/>
        <v>0</v>
      </c>
    </row>
    <row r="145" spans="2:16" ht="12.5">
      <c r="B145" s="160" t="str">
        <f t="shared" si="27"/>
        <v/>
      </c>
      <c r="C145" s="473">
        <f>IF(D93="","-",+C144+1)</f>
        <v>2055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9"/>
        <v>0</v>
      </c>
      <c r="G145" s="486">
        <f t="shared" si="40"/>
        <v>0</v>
      </c>
      <c r="H145" s="487">
        <f t="shared" si="38"/>
        <v>0</v>
      </c>
      <c r="I145" s="543">
        <f t="shared" si="37"/>
        <v>0</v>
      </c>
      <c r="J145" s="479">
        <f t="shared" si="41"/>
        <v>0</v>
      </c>
      <c r="K145" s="479"/>
      <c r="L145" s="488"/>
      <c r="M145" s="479">
        <f t="shared" si="42"/>
        <v>0</v>
      </c>
      <c r="N145" s="488"/>
      <c r="O145" s="479">
        <f t="shared" si="43"/>
        <v>0</v>
      </c>
      <c r="P145" s="479">
        <f t="shared" si="44"/>
        <v>0</v>
      </c>
    </row>
    <row r="146" spans="2:16" ht="12.5">
      <c r="B146" s="160" t="str">
        <f t="shared" si="27"/>
        <v/>
      </c>
      <c r="C146" s="473">
        <f>IF(D93="","-",+C145+1)</f>
        <v>2056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9"/>
        <v>0</v>
      </c>
      <c r="G146" s="486">
        <f t="shared" si="40"/>
        <v>0</v>
      </c>
      <c r="H146" s="487">
        <f t="shared" si="38"/>
        <v>0</v>
      </c>
      <c r="I146" s="543">
        <f t="shared" si="37"/>
        <v>0</v>
      </c>
      <c r="J146" s="479">
        <f t="shared" si="41"/>
        <v>0</v>
      </c>
      <c r="K146" s="479"/>
      <c r="L146" s="488"/>
      <c r="M146" s="479">
        <f t="shared" si="42"/>
        <v>0</v>
      </c>
      <c r="N146" s="488"/>
      <c r="O146" s="479">
        <f t="shared" si="43"/>
        <v>0</v>
      </c>
      <c r="P146" s="479">
        <f t="shared" si="44"/>
        <v>0</v>
      </c>
    </row>
    <row r="147" spans="2:16" ht="12.5">
      <c r="B147" s="160" t="str">
        <f t="shared" si="27"/>
        <v/>
      </c>
      <c r="C147" s="473">
        <f>IF(D93="","-",+C146+1)</f>
        <v>2057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9"/>
        <v>0</v>
      </c>
      <c r="G147" s="486">
        <f t="shared" si="40"/>
        <v>0</v>
      </c>
      <c r="H147" s="487">
        <f t="shared" si="38"/>
        <v>0</v>
      </c>
      <c r="I147" s="543">
        <f t="shared" si="37"/>
        <v>0</v>
      </c>
      <c r="J147" s="479">
        <f t="shared" si="41"/>
        <v>0</v>
      </c>
      <c r="K147" s="479"/>
      <c r="L147" s="488"/>
      <c r="M147" s="479">
        <f t="shared" si="42"/>
        <v>0</v>
      </c>
      <c r="N147" s="488"/>
      <c r="O147" s="479">
        <f t="shared" si="43"/>
        <v>0</v>
      </c>
      <c r="P147" s="479">
        <f t="shared" si="44"/>
        <v>0</v>
      </c>
    </row>
    <row r="148" spans="2:16" ht="12.5">
      <c r="B148" s="160" t="str">
        <f t="shared" si="27"/>
        <v/>
      </c>
      <c r="C148" s="473">
        <f>IF(D93="","-",+C147+1)</f>
        <v>2058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9"/>
        <v>0</v>
      </c>
      <c r="G148" s="486">
        <f t="shared" si="40"/>
        <v>0</v>
      </c>
      <c r="H148" s="487">
        <f t="shared" si="38"/>
        <v>0</v>
      </c>
      <c r="I148" s="543">
        <f t="shared" si="37"/>
        <v>0</v>
      </c>
      <c r="J148" s="479">
        <f t="shared" si="41"/>
        <v>0</v>
      </c>
      <c r="K148" s="479"/>
      <c r="L148" s="488"/>
      <c r="M148" s="479">
        <f t="shared" si="42"/>
        <v>0</v>
      </c>
      <c r="N148" s="488"/>
      <c r="O148" s="479">
        <f t="shared" si="43"/>
        <v>0</v>
      </c>
      <c r="P148" s="479">
        <f t="shared" si="44"/>
        <v>0</v>
      </c>
    </row>
    <row r="149" spans="2:16" ht="12.5">
      <c r="B149" s="160" t="str">
        <f t="shared" si="27"/>
        <v/>
      </c>
      <c r="C149" s="473">
        <f>IF(D93="","-",+C148+1)</f>
        <v>2059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9"/>
        <v>0</v>
      </c>
      <c r="G149" s="486">
        <f t="shared" si="40"/>
        <v>0</v>
      </c>
      <c r="H149" s="487">
        <f t="shared" si="38"/>
        <v>0</v>
      </c>
      <c r="I149" s="543">
        <f t="shared" si="37"/>
        <v>0</v>
      </c>
      <c r="J149" s="479">
        <f t="shared" si="41"/>
        <v>0</v>
      </c>
      <c r="K149" s="479"/>
      <c r="L149" s="488"/>
      <c r="M149" s="479">
        <f t="shared" si="42"/>
        <v>0</v>
      </c>
      <c r="N149" s="488"/>
      <c r="O149" s="479">
        <f t="shared" si="43"/>
        <v>0</v>
      </c>
      <c r="P149" s="479">
        <f t="shared" si="44"/>
        <v>0</v>
      </c>
    </row>
    <row r="150" spans="2:16" ht="12.5">
      <c r="B150" s="160" t="str">
        <f t="shared" si="27"/>
        <v/>
      </c>
      <c r="C150" s="473">
        <f>IF(D93="","-",+C149+1)</f>
        <v>2060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9"/>
        <v>0</v>
      </c>
      <c r="G150" s="486">
        <f t="shared" si="40"/>
        <v>0</v>
      </c>
      <c r="H150" s="487">
        <f t="shared" si="38"/>
        <v>0</v>
      </c>
      <c r="I150" s="543">
        <f t="shared" si="37"/>
        <v>0</v>
      </c>
      <c r="J150" s="479">
        <f t="shared" si="41"/>
        <v>0</v>
      </c>
      <c r="K150" s="479"/>
      <c r="L150" s="488"/>
      <c r="M150" s="479">
        <f t="shared" si="42"/>
        <v>0</v>
      </c>
      <c r="N150" s="488"/>
      <c r="O150" s="479">
        <f t="shared" si="43"/>
        <v>0</v>
      </c>
      <c r="P150" s="479">
        <f t="shared" si="44"/>
        <v>0</v>
      </c>
    </row>
    <row r="151" spans="2:16" ht="12.5">
      <c r="B151" s="160" t="str">
        <f t="shared" si="27"/>
        <v/>
      </c>
      <c r="C151" s="473">
        <f>IF(D93="","-",+C150+1)</f>
        <v>2061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9"/>
        <v>0</v>
      </c>
      <c r="G151" s="486">
        <f t="shared" si="40"/>
        <v>0</v>
      </c>
      <c r="H151" s="487">
        <f t="shared" si="38"/>
        <v>0</v>
      </c>
      <c r="I151" s="543">
        <f t="shared" si="37"/>
        <v>0</v>
      </c>
      <c r="J151" s="479">
        <f t="shared" si="41"/>
        <v>0</v>
      </c>
      <c r="K151" s="479"/>
      <c r="L151" s="488"/>
      <c r="M151" s="479">
        <f t="shared" si="42"/>
        <v>0</v>
      </c>
      <c r="N151" s="488"/>
      <c r="O151" s="479">
        <f t="shared" si="43"/>
        <v>0</v>
      </c>
      <c r="P151" s="479">
        <f t="shared" si="44"/>
        <v>0</v>
      </c>
    </row>
    <row r="152" spans="2:16" ht="12.5">
      <c r="B152" s="160" t="str">
        <f t="shared" si="27"/>
        <v/>
      </c>
      <c r="C152" s="473">
        <f>IF(D93="","-",+C151+1)</f>
        <v>2062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9"/>
        <v>0</v>
      </c>
      <c r="G152" s="486">
        <f t="shared" si="40"/>
        <v>0</v>
      </c>
      <c r="H152" s="487">
        <f t="shared" si="38"/>
        <v>0</v>
      </c>
      <c r="I152" s="543">
        <f t="shared" si="37"/>
        <v>0</v>
      </c>
      <c r="J152" s="479">
        <f t="shared" si="41"/>
        <v>0</v>
      </c>
      <c r="K152" s="479"/>
      <c r="L152" s="488"/>
      <c r="M152" s="479">
        <f t="shared" si="42"/>
        <v>0</v>
      </c>
      <c r="N152" s="488"/>
      <c r="O152" s="479">
        <f t="shared" si="43"/>
        <v>0</v>
      </c>
      <c r="P152" s="479">
        <f t="shared" si="44"/>
        <v>0</v>
      </c>
    </row>
    <row r="153" spans="2:16" ht="12.5">
      <c r="B153" s="160" t="str">
        <f t="shared" si="27"/>
        <v/>
      </c>
      <c r="C153" s="473">
        <f>IF(D93="","-",+C152+1)</f>
        <v>2063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9"/>
        <v>0</v>
      </c>
      <c r="G153" s="486">
        <f t="shared" si="40"/>
        <v>0</v>
      </c>
      <c r="H153" s="487">
        <f t="shared" si="38"/>
        <v>0</v>
      </c>
      <c r="I153" s="543">
        <f t="shared" si="37"/>
        <v>0</v>
      </c>
      <c r="J153" s="479">
        <f t="shared" si="41"/>
        <v>0</v>
      </c>
      <c r="K153" s="479"/>
      <c r="L153" s="488"/>
      <c r="M153" s="479">
        <f t="shared" si="42"/>
        <v>0</v>
      </c>
      <c r="N153" s="488"/>
      <c r="O153" s="479">
        <f t="shared" si="43"/>
        <v>0</v>
      </c>
      <c r="P153" s="479">
        <f t="shared" si="44"/>
        <v>0</v>
      </c>
    </row>
    <row r="154" spans="2:16" ht="13" thickBot="1">
      <c r="B154" s="160" t="str">
        <f t="shared" si="27"/>
        <v/>
      </c>
      <c r="C154" s="490">
        <f>IF(D93="","-",+C153+1)</f>
        <v>2064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9"/>
        <v>0</v>
      </c>
      <c r="G154" s="491">
        <f t="shared" si="40"/>
        <v>0</v>
      </c>
      <c r="H154" s="491">
        <f t="shared" si="38"/>
        <v>0</v>
      </c>
      <c r="I154" s="546">
        <f t="shared" si="37"/>
        <v>0</v>
      </c>
      <c r="J154" s="496">
        <f t="shared" si="41"/>
        <v>0</v>
      </c>
      <c r="K154" s="479"/>
      <c r="L154" s="495"/>
      <c r="M154" s="496">
        <f t="shared" si="42"/>
        <v>0</v>
      </c>
      <c r="N154" s="495"/>
      <c r="O154" s="496">
        <f t="shared" si="43"/>
        <v>0</v>
      </c>
      <c r="P154" s="496">
        <f t="shared" si="44"/>
        <v>0</v>
      </c>
    </row>
    <row r="155" spans="2:16" ht="12.5">
      <c r="C155" s="347" t="s">
        <v>77</v>
      </c>
      <c r="D155" s="348"/>
      <c r="E155" s="348">
        <f>SUM(E99:E154)</f>
        <v>11456065</v>
      </c>
      <c r="F155" s="348"/>
      <c r="G155" s="348"/>
      <c r="H155" s="348">
        <f>SUM(H99:H154)</f>
        <v>43795351.234634131</v>
      </c>
      <c r="I155" s="348">
        <f>SUM(I99:I154)</f>
        <v>43795351.234634131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2.5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97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P1048576"/>
  <sheetViews>
    <sheetView view="pageBreakPreview" topLeftCell="A90" zoomScale="75" zoomScaleNormal="100" zoomScaleSheetLayoutView="50" workbookViewId="0">
      <selection activeCell="H111" sqref="H111:I11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4 of 28</v>
      </c>
    </row>
    <row r="2" spans="1:16" ht="20">
      <c r="A2" s="556"/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 t="str">
        <f>"For Calendar Year "&amp;V1-1&amp;" and Projected Year "&amp;V1</f>
        <v xml:space="preserve">For Calendar Year -1 and Projected Year </v>
      </c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 t="s">
        <v>251</v>
      </c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VLOOKUP(I10,C17:I72,5)-O5</f>
        <v>1544541.2708098113</v>
      </c>
      <c r="O5" s="557">
        <f>1307.4*12</f>
        <v>15688.800000000001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VLOOKUP(I10,C17:I72,6)-O5</f>
        <v>1544541.2708098113</v>
      </c>
      <c r="O6" s="233"/>
      <c r="P6" s="233"/>
    </row>
    <row r="7" spans="1:16" ht="13.5" thickBot="1">
      <c r="C7" s="432" t="s">
        <v>46</v>
      </c>
      <c r="D7" s="433" t="s">
        <v>207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82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14615636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2008</v>
      </c>
      <c r="E11" s="451" t="s">
        <v>54</v>
      </c>
      <c r="F11" s="449"/>
      <c r="G11" s="195"/>
      <c r="H11" s="195"/>
      <c r="I11" s="453"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7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339898.51162790699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558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2008</v>
      </c>
      <c r="D17" s="559">
        <v>2264444</v>
      </c>
      <c r="E17" s="475">
        <v>21774</v>
      </c>
      <c r="F17" s="474">
        <v>2242670</v>
      </c>
      <c r="G17" s="475">
        <v>215833</v>
      </c>
      <c r="H17" s="475">
        <v>215833</v>
      </c>
      <c r="I17" s="476">
        <f t="shared" ref="I17:I48" si="0">H17-G17</f>
        <v>0</v>
      </c>
      <c r="J17" s="349"/>
      <c r="K17" s="477">
        <v>215833</v>
      </c>
      <c r="L17" s="560">
        <f t="shared" ref="L17:L48" si="1">IF(K17&lt;&gt;0,+G17-K17,0)</f>
        <v>0</v>
      </c>
      <c r="M17" s="555">
        <v>215833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>IU</v>
      </c>
      <c r="C18" s="473">
        <f>IF(D11="","-",+C17+1)</f>
        <v>2009</v>
      </c>
      <c r="D18" s="474">
        <v>14429811</v>
      </c>
      <c r="E18" s="481">
        <v>274418</v>
      </c>
      <c r="F18" s="474">
        <v>14155393</v>
      </c>
      <c r="G18" s="481">
        <v>2443110</v>
      </c>
      <c r="H18" s="481">
        <v>2443110</v>
      </c>
      <c r="I18" s="476">
        <f t="shared" si="0"/>
        <v>0</v>
      </c>
      <c r="J18" s="476"/>
      <c r="K18" s="477">
        <v>2443110</v>
      </c>
      <c r="L18" s="479">
        <f t="shared" si="1"/>
        <v>0</v>
      </c>
      <c r="M18" s="477">
        <v>2443110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2010</v>
      </c>
      <c r="D19" s="480">
        <v>14390719</v>
      </c>
      <c r="E19" s="481">
        <v>262266.26785714284</v>
      </c>
      <c r="F19" s="480">
        <v>14128452.732142856</v>
      </c>
      <c r="G19" s="481">
        <v>2300952.2678571427</v>
      </c>
      <c r="H19" s="482">
        <v>2300952.2678571427</v>
      </c>
      <c r="I19" s="476">
        <f t="shared" si="0"/>
        <v>0</v>
      </c>
      <c r="J19" s="476"/>
      <c r="K19" s="477">
        <f t="shared" ref="K19:K24" si="4">G19</f>
        <v>2300952.2678571427</v>
      </c>
      <c r="L19" s="551">
        <f t="shared" si="1"/>
        <v>0</v>
      </c>
      <c r="M19" s="477">
        <f t="shared" ref="M19:M24" si="5">H19</f>
        <v>2300952.2678571427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>IU</v>
      </c>
      <c r="C20" s="473">
        <f>IF(D11="","-",+C19+1)</f>
        <v>2011</v>
      </c>
      <c r="D20" s="480">
        <v>14057177.732142856</v>
      </c>
      <c r="E20" s="481">
        <v>286581.09803921566</v>
      </c>
      <c r="F20" s="480">
        <v>13770596.634103641</v>
      </c>
      <c r="G20" s="481">
        <v>2442276.0980392154</v>
      </c>
      <c r="H20" s="482">
        <v>2442276.0980392154</v>
      </c>
      <c r="I20" s="476">
        <f t="shared" si="0"/>
        <v>0</v>
      </c>
      <c r="J20" s="476"/>
      <c r="K20" s="477">
        <f t="shared" si="4"/>
        <v>2442276.0980392154</v>
      </c>
      <c r="L20" s="551">
        <f t="shared" si="1"/>
        <v>0</v>
      </c>
      <c r="M20" s="477">
        <f t="shared" si="5"/>
        <v>2442276.0980392154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73">
        <f>IF(D12="","-",+C20+1)</f>
        <v>2012</v>
      </c>
      <c r="D21" s="480">
        <v>13770596.634103641</v>
      </c>
      <c r="E21" s="481">
        <v>281069.92307692306</v>
      </c>
      <c r="F21" s="480">
        <v>13489526.711026717</v>
      </c>
      <c r="G21" s="481">
        <v>2158902.923076923</v>
      </c>
      <c r="H21" s="482">
        <v>2158902.923076923</v>
      </c>
      <c r="I21" s="476">
        <f t="shared" si="0"/>
        <v>0</v>
      </c>
      <c r="J21" s="476"/>
      <c r="K21" s="477">
        <f t="shared" si="4"/>
        <v>2158902.923076923</v>
      </c>
      <c r="L21" s="551">
        <f t="shared" si="1"/>
        <v>0</v>
      </c>
      <c r="M21" s="477">
        <f t="shared" si="5"/>
        <v>2158902.923076923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6"/>
        <v/>
      </c>
      <c r="C22" s="473">
        <f>IF(D11="","-",+C21+1)</f>
        <v>2013</v>
      </c>
      <c r="D22" s="480">
        <v>13489526.711026717</v>
      </c>
      <c r="E22" s="481">
        <v>281069.92307692306</v>
      </c>
      <c r="F22" s="480">
        <v>13208456.787949793</v>
      </c>
      <c r="G22" s="481">
        <v>2167326.923076923</v>
      </c>
      <c r="H22" s="482">
        <v>2167326.923076923</v>
      </c>
      <c r="I22" s="476">
        <v>0</v>
      </c>
      <c r="J22" s="476"/>
      <c r="K22" s="477">
        <f t="shared" si="4"/>
        <v>2167326.923076923</v>
      </c>
      <c r="L22" s="551">
        <f t="shared" ref="L22:L27" si="7">IF(K22&lt;&gt;0,+G22-K22,0)</f>
        <v>0</v>
      </c>
      <c r="M22" s="477">
        <f t="shared" si="5"/>
        <v>2167326.923076923</v>
      </c>
      <c r="N22" s="479">
        <f t="shared" ref="N22:N27" si="8">IF(M22&lt;&gt;0,+H22-M22,0)</f>
        <v>0</v>
      </c>
      <c r="O22" s="479">
        <f t="shared" ref="O22:O27" si="9">+N22-L22</f>
        <v>0</v>
      </c>
      <c r="P22" s="243"/>
    </row>
    <row r="23" spans="2:16" ht="12.5">
      <c r="B23" s="160" t="str">
        <f t="shared" si="6"/>
        <v/>
      </c>
      <c r="C23" s="473">
        <f>IF(D11="","-",+C22+1)</f>
        <v>2014</v>
      </c>
      <c r="D23" s="480">
        <v>13208456.787949793</v>
      </c>
      <c r="E23" s="481">
        <v>281069.92307692306</v>
      </c>
      <c r="F23" s="480">
        <v>12927386.864872869</v>
      </c>
      <c r="G23" s="481">
        <v>2060637.923076923</v>
      </c>
      <c r="H23" s="482">
        <v>2060637.923076923</v>
      </c>
      <c r="I23" s="476">
        <v>0</v>
      </c>
      <c r="J23" s="476"/>
      <c r="K23" s="477">
        <f t="shared" si="4"/>
        <v>2060637.923076923</v>
      </c>
      <c r="L23" s="551">
        <f t="shared" si="7"/>
        <v>0</v>
      </c>
      <c r="M23" s="477">
        <f t="shared" si="5"/>
        <v>2060637.923076923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2015</v>
      </c>
      <c r="D24" s="480">
        <v>12927386.864872869</v>
      </c>
      <c r="E24" s="481">
        <v>281069.92307692306</v>
      </c>
      <c r="F24" s="480">
        <v>12646316.941795945</v>
      </c>
      <c r="G24" s="481">
        <v>2024638.923076923</v>
      </c>
      <c r="H24" s="482">
        <v>2024638.923076923</v>
      </c>
      <c r="I24" s="476">
        <v>0</v>
      </c>
      <c r="J24" s="476"/>
      <c r="K24" s="477">
        <f t="shared" si="4"/>
        <v>2024638.923076923</v>
      </c>
      <c r="L24" s="551">
        <f t="shared" si="7"/>
        <v>0</v>
      </c>
      <c r="M24" s="477">
        <f t="shared" si="5"/>
        <v>2024638.923076923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2016</v>
      </c>
      <c r="D25" s="480">
        <v>12646316.941795945</v>
      </c>
      <c r="E25" s="481">
        <v>281069.92307692306</v>
      </c>
      <c r="F25" s="480">
        <v>12365247.018719021</v>
      </c>
      <c r="G25" s="481">
        <v>1902890.923076923</v>
      </c>
      <c r="H25" s="482">
        <v>1902890.923076923</v>
      </c>
      <c r="I25" s="476">
        <f t="shared" si="0"/>
        <v>0</v>
      </c>
      <c r="J25" s="476"/>
      <c r="K25" s="477">
        <f>G25</f>
        <v>1902890.923076923</v>
      </c>
      <c r="L25" s="551">
        <f t="shared" si="7"/>
        <v>0</v>
      </c>
      <c r="M25" s="477">
        <f>H25</f>
        <v>1902890.923076923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2017</v>
      </c>
      <c r="D26" s="480">
        <v>12365247.018719021</v>
      </c>
      <c r="E26" s="481">
        <v>317731.21739130432</v>
      </c>
      <c r="F26" s="480">
        <v>12047515.801327717</v>
      </c>
      <c r="G26" s="481">
        <v>1850906.2173913042</v>
      </c>
      <c r="H26" s="482">
        <v>1850906.2173913042</v>
      </c>
      <c r="I26" s="476">
        <f t="shared" si="0"/>
        <v>0</v>
      </c>
      <c r="J26" s="476"/>
      <c r="K26" s="477">
        <f>G26</f>
        <v>1850906.2173913042</v>
      </c>
      <c r="L26" s="551">
        <f t="shared" si="7"/>
        <v>0</v>
      </c>
      <c r="M26" s="477">
        <f>H26</f>
        <v>1850906.2173913042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2018</v>
      </c>
      <c r="D27" s="480">
        <v>12047515.801327717</v>
      </c>
      <c r="E27" s="481">
        <v>324791.91111111111</v>
      </c>
      <c r="F27" s="480">
        <v>11722723.890216606</v>
      </c>
      <c r="G27" s="481">
        <v>1911291.9111111111</v>
      </c>
      <c r="H27" s="482">
        <v>1911291.9111111111</v>
      </c>
      <c r="I27" s="476">
        <f t="shared" si="0"/>
        <v>0</v>
      </c>
      <c r="J27" s="476"/>
      <c r="K27" s="477">
        <f>G27</f>
        <v>1911291.9111111111</v>
      </c>
      <c r="L27" s="551">
        <f t="shared" si="7"/>
        <v>0</v>
      </c>
      <c r="M27" s="477">
        <f>H27</f>
        <v>1911291.9111111111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6"/>
        <v/>
      </c>
      <c r="C28" s="473">
        <f>IF(D11="","-",+C27+1)</f>
        <v>2019</v>
      </c>
      <c r="D28" s="480">
        <v>11722723.890216606</v>
      </c>
      <c r="E28" s="481">
        <v>324791.91111111111</v>
      </c>
      <c r="F28" s="480">
        <v>11397931.979105495</v>
      </c>
      <c r="G28" s="481">
        <v>1867335.9111111111</v>
      </c>
      <c r="H28" s="482">
        <v>1867335.9111111111</v>
      </c>
      <c r="I28" s="476">
        <f t="shared" si="0"/>
        <v>0</v>
      </c>
      <c r="J28" s="476"/>
      <c r="K28" s="477">
        <f>G28</f>
        <v>1867335.9111111111</v>
      </c>
      <c r="L28" s="551">
        <f t="shared" ref="L28" si="10">IF(K28&lt;&gt;0,+G28-K28,0)</f>
        <v>0</v>
      </c>
      <c r="M28" s="477">
        <f>H28</f>
        <v>1867335.9111111111</v>
      </c>
      <c r="N28" s="479">
        <f t="shared" ref="N28" si="11">IF(M28&lt;&gt;0,+H28-M28,0)</f>
        <v>0</v>
      </c>
      <c r="O28" s="479">
        <f t="shared" ref="O28" si="12">+N28-L28</f>
        <v>0</v>
      </c>
      <c r="P28" s="243"/>
    </row>
    <row r="29" spans="2:16" ht="12.5">
      <c r="B29" s="160" t="str">
        <f t="shared" si="6"/>
        <v/>
      </c>
      <c r="C29" s="473">
        <f>IF(D11="","-",+C28+1)</f>
        <v>2020</v>
      </c>
      <c r="D29" s="480">
        <v>11397931.979105495</v>
      </c>
      <c r="E29" s="481">
        <v>347991.33333333331</v>
      </c>
      <c r="F29" s="480">
        <v>11049940.645772161</v>
      </c>
      <c r="G29" s="481">
        <v>1560230.0708098114</v>
      </c>
      <c r="H29" s="482">
        <v>1560230.0708098114</v>
      </c>
      <c r="I29" s="476">
        <f t="shared" si="0"/>
        <v>0</v>
      </c>
      <c r="J29" s="476"/>
      <c r="K29" s="477">
        <f>G29</f>
        <v>1560230.0708098114</v>
      </c>
      <c r="L29" s="551">
        <f t="shared" ref="L29" si="13">IF(K29&lt;&gt;0,+G29-K29,0)</f>
        <v>0</v>
      </c>
      <c r="M29" s="477">
        <f>H29</f>
        <v>1560230.0708098114</v>
      </c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2021</v>
      </c>
      <c r="D30" s="486">
        <f>IF(F29+SUM(E$17:E29)=D$10,F29,D$10-SUM(E$17:E29))</f>
        <v>11049940.645772161</v>
      </c>
      <c r="E30" s="485">
        <f>IF(+I14&lt;F29,I14,D30)</f>
        <v>339898.51162790699</v>
      </c>
      <c r="F30" s="486">
        <f t="shared" ref="F30:F72" si="14">+D30-E30</f>
        <v>10710042.134144254</v>
      </c>
      <c r="G30" s="487">
        <f t="shared" ref="G30:G72" si="15">(D30+F30)/2*I$12+E30</f>
        <v>1591710.4485822406</v>
      </c>
      <c r="H30" s="456">
        <f t="shared" ref="H30:H72" si="16">+(D30+F30)/2*I$13+E30</f>
        <v>1591710.4485822406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2022</v>
      </c>
      <c r="D31" s="486">
        <f>IF(F30+SUM(E$17:E30)=D$10,F30,D$10-SUM(E$17:E30))</f>
        <v>10710042.134144254</v>
      </c>
      <c r="E31" s="485">
        <f>IF(+I14&lt;F30,I14,D31)</f>
        <v>339898.51162790699</v>
      </c>
      <c r="F31" s="486">
        <f t="shared" si="14"/>
        <v>10370143.622516347</v>
      </c>
      <c r="G31" s="487">
        <f t="shared" si="15"/>
        <v>1552602.9714750866</v>
      </c>
      <c r="H31" s="456">
        <f t="shared" si="16"/>
        <v>1552602.9714750866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2023</v>
      </c>
      <c r="D32" s="486">
        <f>IF(F31+SUM(E$17:E31)=D$10,F31,D$10-SUM(E$17:E31))</f>
        <v>10370143.622516347</v>
      </c>
      <c r="E32" s="485">
        <f>IF(+I14&lt;F31,I14,D32)</f>
        <v>339898.51162790699</v>
      </c>
      <c r="F32" s="486">
        <f t="shared" si="14"/>
        <v>10030245.11088844</v>
      </c>
      <c r="G32" s="487">
        <f t="shared" si="15"/>
        <v>1513495.4943679322</v>
      </c>
      <c r="H32" s="456">
        <f t="shared" si="16"/>
        <v>1513495.4943679322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2024</v>
      </c>
      <c r="D33" s="486">
        <f>IF(F32+SUM(E$17:E32)=D$10,F32,D$10-SUM(E$17:E32))</f>
        <v>10030245.11088844</v>
      </c>
      <c r="E33" s="485">
        <f>IF(+I14&lt;F32,I14,D33)</f>
        <v>339898.51162790699</v>
      </c>
      <c r="F33" s="486">
        <f t="shared" si="14"/>
        <v>9690346.5992605332</v>
      </c>
      <c r="G33" s="487">
        <f t="shared" si="15"/>
        <v>1474388.0172607782</v>
      </c>
      <c r="H33" s="456">
        <f t="shared" si="16"/>
        <v>1474388.0172607782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2025</v>
      </c>
      <c r="D34" s="486">
        <f>IF(F33+SUM(E$17:E33)=D$10,F33,D$10-SUM(E$17:E33))</f>
        <v>9690346.5992605332</v>
      </c>
      <c r="E34" s="485">
        <f>IF(+I14&lt;F33,I14,D34)</f>
        <v>339898.51162790699</v>
      </c>
      <c r="F34" s="486">
        <f t="shared" si="14"/>
        <v>9350448.0876326263</v>
      </c>
      <c r="G34" s="487">
        <f t="shared" si="15"/>
        <v>1435280.5401536238</v>
      </c>
      <c r="H34" s="456">
        <f t="shared" si="16"/>
        <v>1435280.5401536238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2026</v>
      </c>
      <c r="D35" s="486">
        <f>IF(F34+SUM(E$17:E34)=D$10,F34,D$10-SUM(E$17:E34))</f>
        <v>9350448.0876326263</v>
      </c>
      <c r="E35" s="485">
        <f>IF(+I14&lt;F34,I14,D35)</f>
        <v>339898.51162790699</v>
      </c>
      <c r="F35" s="486">
        <f t="shared" si="14"/>
        <v>9010549.5760047194</v>
      </c>
      <c r="G35" s="487">
        <f t="shared" si="15"/>
        <v>1396173.0630464698</v>
      </c>
      <c r="H35" s="456">
        <f t="shared" si="16"/>
        <v>1396173.0630464698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2027</v>
      </c>
      <c r="D36" s="486">
        <f>IF(F35+SUM(E$17:E35)=D$10,F35,D$10-SUM(E$17:E35))</f>
        <v>9010549.5760047194</v>
      </c>
      <c r="E36" s="485">
        <f>IF(+I14&lt;F35,I14,D36)</f>
        <v>339898.51162790699</v>
      </c>
      <c r="F36" s="486">
        <f t="shared" si="14"/>
        <v>8670651.0643768124</v>
      </c>
      <c r="G36" s="487">
        <f t="shared" si="15"/>
        <v>1357065.5859393156</v>
      </c>
      <c r="H36" s="456">
        <f t="shared" si="16"/>
        <v>1357065.5859393156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2028</v>
      </c>
      <c r="D37" s="486">
        <f>IF(F36+SUM(E$17:E36)=D$10,F36,D$10-SUM(E$17:E36))</f>
        <v>8670651.0643768124</v>
      </c>
      <c r="E37" s="485">
        <f>IF(+I14&lt;F36,I14,D37)</f>
        <v>339898.51162790699</v>
      </c>
      <c r="F37" s="486">
        <f t="shared" si="14"/>
        <v>8330752.5527489055</v>
      </c>
      <c r="G37" s="487">
        <f t="shared" si="15"/>
        <v>1317958.1088321616</v>
      </c>
      <c r="H37" s="456">
        <f t="shared" si="16"/>
        <v>1317958.1088321616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2029</v>
      </c>
      <c r="D38" s="486">
        <f>IF(F37+SUM(E$17:E37)=D$10,F37,D$10-SUM(E$17:E37))</f>
        <v>8330752.5527489055</v>
      </c>
      <c r="E38" s="485">
        <f>IF(+I14&lt;F37,I14,D38)</f>
        <v>339898.51162790699</v>
      </c>
      <c r="F38" s="486">
        <f t="shared" si="14"/>
        <v>7990854.0411209986</v>
      </c>
      <c r="G38" s="487">
        <f t="shared" si="15"/>
        <v>1278850.6317250072</v>
      </c>
      <c r="H38" s="456">
        <f t="shared" si="16"/>
        <v>1278850.6317250072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2030</v>
      </c>
      <c r="D39" s="486">
        <f>IF(F38+SUM(E$17:E38)=D$10,F38,D$10-SUM(E$17:E38))</f>
        <v>7990854.0411209986</v>
      </c>
      <c r="E39" s="485">
        <f>IF(+I14&lt;F38,I14,D39)</f>
        <v>339898.51162790699</v>
      </c>
      <c r="F39" s="486">
        <f t="shared" si="14"/>
        <v>7650955.5294930916</v>
      </c>
      <c r="G39" s="487">
        <f t="shared" si="15"/>
        <v>1239743.154617853</v>
      </c>
      <c r="H39" s="456">
        <f t="shared" si="16"/>
        <v>1239743.154617853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2031</v>
      </c>
      <c r="D40" s="486">
        <f>IF(F39+SUM(E$17:E39)=D$10,F39,D$10-SUM(E$17:E39))</f>
        <v>7650955.5294930916</v>
      </c>
      <c r="E40" s="485">
        <f>IF(+I14&lt;F39,I14,D40)</f>
        <v>339898.51162790699</v>
      </c>
      <c r="F40" s="486">
        <f t="shared" si="14"/>
        <v>7311057.0178651847</v>
      </c>
      <c r="G40" s="487">
        <f t="shared" si="15"/>
        <v>1200635.6775106988</v>
      </c>
      <c r="H40" s="456">
        <f t="shared" si="16"/>
        <v>1200635.6775106988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2032</v>
      </c>
      <c r="D41" s="486">
        <f>IF(F40+SUM(E$17:E40)=D$10,F40,D$10-SUM(E$17:E40))</f>
        <v>7311057.0178651847</v>
      </c>
      <c r="E41" s="485">
        <f>IF(+I14&lt;F40,I14,D41)</f>
        <v>339898.51162790699</v>
      </c>
      <c r="F41" s="486">
        <f t="shared" si="14"/>
        <v>6971158.5062372778</v>
      </c>
      <c r="G41" s="487">
        <f t="shared" si="15"/>
        <v>1161528.2004035446</v>
      </c>
      <c r="H41" s="456">
        <f t="shared" si="16"/>
        <v>1161528.2004035446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2033</v>
      </c>
      <c r="D42" s="486">
        <f>IF(F41+SUM(E$17:E41)=D$10,F41,D$10-SUM(E$17:E41))</f>
        <v>6971158.5062372778</v>
      </c>
      <c r="E42" s="485">
        <f>IF(+I14&lt;F41,I14,D42)</f>
        <v>339898.51162790699</v>
      </c>
      <c r="F42" s="486">
        <f t="shared" si="14"/>
        <v>6631259.9946093708</v>
      </c>
      <c r="G42" s="487">
        <f t="shared" si="15"/>
        <v>1122420.7232963904</v>
      </c>
      <c r="H42" s="456">
        <f t="shared" si="16"/>
        <v>1122420.7232963904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2034</v>
      </c>
      <c r="D43" s="486">
        <f>IF(F42+SUM(E$17:E42)=D$10,F42,D$10-SUM(E$17:E42))</f>
        <v>6631259.9946093708</v>
      </c>
      <c r="E43" s="485">
        <f>IF(+I14&lt;F42,I14,D43)</f>
        <v>339898.51162790699</v>
      </c>
      <c r="F43" s="486">
        <f t="shared" si="14"/>
        <v>6291361.4829814639</v>
      </c>
      <c r="G43" s="487">
        <f t="shared" si="15"/>
        <v>1083313.2461892362</v>
      </c>
      <c r="H43" s="456">
        <f t="shared" si="16"/>
        <v>1083313.2461892362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2035</v>
      </c>
      <c r="D44" s="486">
        <f>IF(F43+SUM(E$17:E43)=D$10,F43,D$10-SUM(E$17:E43))</f>
        <v>6291361.4829814639</v>
      </c>
      <c r="E44" s="485">
        <f>IF(+I14&lt;F43,I14,D44)</f>
        <v>339898.51162790699</v>
      </c>
      <c r="F44" s="486">
        <f t="shared" si="14"/>
        <v>5951462.971353557</v>
      </c>
      <c r="G44" s="487">
        <f t="shared" si="15"/>
        <v>1044205.769082082</v>
      </c>
      <c r="H44" s="456">
        <f t="shared" si="16"/>
        <v>1044205.769082082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2036</v>
      </c>
      <c r="D45" s="486">
        <f>IF(F44+SUM(E$17:E44)=D$10,F44,D$10-SUM(E$17:E44))</f>
        <v>5951462.971353557</v>
      </c>
      <c r="E45" s="485">
        <f>IF(+I14&lt;F44,I14,D45)</f>
        <v>339898.51162790699</v>
      </c>
      <c r="F45" s="486">
        <f t="shared" si="14"/>
        <v>5611564.45972565</v>
      </c>
      <c r="G45" s="487">
        <f t="shared" si="15"/>
        <v>1005098.2919749278</v>
      </c>
      <c r="H45" s="456">
        <f t="shared" si="16"/>
        <v>1005098.2919749278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2037</v>
      </c>
      <c r="D46" s="486">
        <f>IF(F45+SUM(E$17:E45)=D$10,F45,D$10-SUM(E$17:E45))</f>
        <v>5611564.45972565</v>
      </c>
      <c r="E46" s="485">
        <f>IF(+I14&lt;F45,I14,D46)</f>
        <v>339898.51162790699</v>
      </c>
      <c r="F46" s="486">
        <f t="shared" si="14"/>
        <v>5271665.9480977431</v>
      </c>
      <c r="G46" s="487">
        <f t="shared" si="15"/>
        <v>965990.81486777379</v>
      </c>
      <c r="H46" s="456">
        <f t="shared" si="16"/>
        <v>965990.81486777379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2038</v>
      </c>
      <c r="D47" s="486">
        <f>IF(F46+SUM(E$17:E46)=D$10,F46,D$10-SUM(E$17:E46))</f>
        <v>5271665.9480977431</v>
      </c>
      <c r="E47" s="485">
        <f>IF(+I14&lt;F46,I14,D47)</f>
        <v>339898.51162790699</v>
      </c>
      <c r="F47" s="486">
        <f t="shared" si="14"/>
        <v>4931767.4364698362</v>
      </c>
      <c r="G47" s="487">
        <f t="shared" si="15"/>
        <v>926883.33776061959</v>
      </c>
      <c r="H47" s="456">
        <f t="shared" si="16"/>
        <v>926883.33776061959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2039</v>
      </c>
      <c r="D48" s="486">
        <f>IF(F47+SUM(E$17:E47)=D$10,F47,D$10-SUM(E$17:E47))</f>
        <v>4931767.4364698362</v>
      </c>
      <c r="E48" s="485">
        <f>IF(+I14&lt;F47,I14,D48)</f>
        <v>339898.51162790699</v>
      </c>
      <c r="F48" s="486">
        <f t="shared" si="14"/>
        <v>4591868.9248419292</v>
      </c>
      <c r="G48" s="487">
        <f t="shared" si="15"/>
        <v>887775.86065346538</v>
      </c>
      <c r="H48" s="456">
        <f t="shared" si="16"/>
        <v>887775.86065346538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2040</v>
      </c>
      <c r="D49" s="486">
        <f>IF(F48+SUM(E$17:E48)=D$10,F48,D$10-SUM(E$17:E48))</f>
        <v>4591868.9248419292</v>
      </c>
      <c r="E49" s="485">
        <f>IF(+I14&lt;F48,I14,D49)</f>
        <v>339898.51162790699</v>
      </c>
      <c r="F49" s="486">
        <f t="shared" si="14"/>
        <v>4251970.4132140223</v>
      </c>
      <c r="G49" s="487">
        <f t="shared" si="15"/>
        <v>848668.38354631118</v>
      </c>
      <c r="H49" s="456">
        <f t="shared" si="16"/>
        <v>848668.38354631118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2041</v>
      </c>
      <c r="D50" s="486">
        <f>IF(F49+SUM(E$17:E49)=D$10,F49,D$10-SUM(E$17:E49))</f>
        <v>4251970.4132140223</v>
      </c>
      <c r="E50" s="485">
        <f>IF(+I14&lt;F49,I14,D50)</f>
        <v>339898.51162790699</v>
      </c>
      <c r="F50" s="486">
        <f t="shared" si="14"/>
        <v>3912071.9015861154</v>
      </c>
      <c r="G50" s="487">
        <f t="shared" si="15"/>
        <v>809560.90643915697</v>
      </c>
      <c r="H50" s="456">
        <f t="shared" si="16"/>
        <v>809560.90643915697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6"/>
        <v/>
      </c>
      <c r="C51" s="473">
        <f>IF(D11="","-",+C50+1)</f>
        <v>2042</v>
      </c>
      <c r="D51" s="486">
        <f>IF(F50+SUM(E$17:E50)=D$10,F50,D$10-SUM(E$17:E50))</f>
        <v>3912071.9015861154</v>
      </c>
      <c r="E51" s="485">
        <f>IF(+I14&lt;F50,I14,D51)</f>
        <v>339898.51162790699</v>
      </c>
      <c r="F51" s="486">
        <f t="shared" si="14"/>
        <v>3572173.3899582084</v>
      </c>
      <c r="G51" s="487">
        <f t="shared" si="15"/>
        <v>770453.42933200276</v>
      </c>
      <c r="H51" s="456">
        <f t="shared" si="16"/>
        <v>770453.42933200276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6"/>
        <v/>
      </c>
      <c r="C52" s="473">
        <f>IF(D11="","-",+C51+1)</f>
        <v>2043</v>
      </c>
      <c r="D52" s="486">
        <f>IF(F51+SUM(E$17:E51)=D$10,F51,D$10-SUM(E$17:E51))</f>
        <v>3572173.3899582084</v>
      </c>
      <c r="E52" s="485">
        <f>IF(+I14&lt;F51,I14,D52)</f>
        <v>339898.51162790699</v>
      </c>
      <c r="F52" s="486">
        <f t="shared" si="14"/>
        <v>3232274.8783303015</v>
      </c>
      <c r="G52" s="487">
        <f t="shared" si="15"/>
        <v>731345.95222484856</v>
      </c>
      <c r="H52" s="456">
        <f t="shared" si="16"/>
        <v>731345.95222484856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6"/>
        <v/>
      </c>
      <c r="C53" s="473">
        <f>IF(D11="","-",+C52+1)</f>
        <v>2044</v>
      </c>
      <c r="D53" s="486">
        <f>IF(F52+SUM(E$17:E52)=D$10,F52,D$10-SUM(E$17:E52))</f>
        <v>3232274.8783303015</v>
      </c>
      <c r="E53" s="485">
        <f>IF(+I14&lt;F52,I14,D53)</f>
        <v>339898.51162790699</v>
      </c>
      <c r="F53" s="486">
        <f t="shared" si="14"/>
        <v>2892376.3667023946</v>
      </c>
      <c r="G53" s="487">
        <f t="shared" si="15"/>
        <v>692238.47511769435</v>
      </c>
      <c r="H53" s="456">
        <f t="shared" si="16"/>
        <v>692238.47511769435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6"/>
        <v/>
      </c>
      <c r="C54" s="473">
        <f>IF(D11="","-",+C53+1)</f>
        <v>2045</v>
      </c>
      <c r="D54" s="486">
        <f>IF(F53+SUM(E$17:E53)=D$10,F53,D$10-SUM(E$17:E53))</f>
        <v>2892376.3667023946</v>
      </c>
      <c r="E54" s="485">
        <f>IF(+I14&lt;F53,I14,D54)</f>
        <v>339898.51162790699</v>
      </c>
      <c r="F54" s="486">
        <f t="shared" si="14"/>
        <v>2552477.8550744876</v>
      </c>
      <c r="G54" s="487">
        <f t="shared" si="15"/>
        <v>653130.99801054015</v>
      </c>
      <c r="H54" s="456">
        <f t="shared" si="16"/>
        <v>653130.99801054015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6"/>
        <v/>
      </c>
      <c r="C55" s="473">
        <f>IF(D11="","-",+C54+1)</f>
        <v>2046</v>
      </c>
      <c r="D55" s="486">
        <f>IF(F54+SUM(E$17:E54)=D$10,F54,D$10-SUM(E$17:E54))</f>
        <v>2552477.8550744876</v>
      </c>
      <c r="E55" s="485">
        <f>IF(+I14&lt;F54,I14,D55)</f>
        <v>339898.51162790699</v>
      </c>
      <c r="F55" s="486">
        <f t="shared" si="14"/>
        <v>2212579.3434465807</v>
      </c>
      <c r="G55" s="487">
        <f t="shared" si="15"/>
        <v>614023.52090338594</v>
      </c>
      <c r="H55" s="456">
        <f t="shared" si="16"/>
        <v>614023.52090338594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6"/>
        <v/>
      </c>
      <c r="C56" s="473">
        <f>IF(D11="","-",+C55+1)</f>
        <v>2047</v>
      </c>
      <c r="D56" s="486">
        <f>IF(F55+SUM(E$17:E55)=D$10,F55,D$10-SUM(E$17:E55))</f>
        <v>2212579.3434465807</v>
      </c>
      <c r="E56" s="485">
        <f>IF(+I14&lt;F55,I14,D56)</f>
        <v>339898.51162790699</v>
      </c>
      <c r="F56" s="486">
        <f t="shared" si="14"/>
        <v>1872680.8318186738</v>
      </c>
      <c r="G56" s="487">
        <f t="shared" si="15"/>
        <v>574916.04379623174</v>
      </c>
      <c r="H56" s="456">
        <f t="shared" si="16"/>
        <v>574916.04379623174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6"/>
        <v/>
      </c>
      <c r="C57" s="473">
        <f>IF(D11="","-",+C56+1)</f>
        <v>2048</v>
      </c>
      <c r="D57" s="486">
        <f>IF(F56+SUM(E$17:E56)=D$10,F56,D$10-SUM(E$17:E56))</f>
        <v>1872680.8318186738</v>
      </c>
      <c r="E57" s="485">
        <f>IF(+I14&lt;F56,I14,D57)</f>
        <v>339898.51162790699</v>
      </c>
      <c r="F57" s="486">
        <f t="shared" si="14"/>
        <v>1532782.3201907668</v>
      </c>
      <c r="G57" s="487">
        <f t="shared" si="15"/>
        <v>535808.56668907753</v>
      </c>
      <c r="H57" s="456">
        <f t="shared" si="16"/>
        <v>535808.56668907753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6"/>
        <v/>
      </c>
      <c r="C58" s="473">
        <f>IF(D11="","-",+C57+1)</f>
        <v>2049</v>
      </c>
      <c r="D58" s="486">
        <f>IF(F57+SUM(E$17:E57)=D$10,F57,D$10-SUM(E$17:E57))</f>
        <v>1532782.3201907668</v>
      </c>
      <c r="E58" s="485">
        <f>IF(+I14&lt;F57,I14,D58)</f>
        <v>339898.51162790699</v>
      </c>
      <c r="F58" s="486">
        <f t="shared" si="14"/>
        <v>1192883.8085628599</v>
      </c>
      <c r="G58" s="487">
        <f t="shared" si="15"/>
        <v>496701.08958192338</v>
      </c>
      <c r="H58" s="456">
        <f t="shared" si="16"/>
        <v>496701.08958192338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6"/>
        <v/>
      </c>
      <c r="C59" s="473">
        <f>IF(D11="","-",+C58+1)</f>
        <v>2050</v>
      </c>
      <c r="D59" s="486">
        <f>IF(F58+SUM(E$17:E58)=D$10,F58,D$10-SUM(E$17:E58))</f>
        <v>1192883.8085628599</v>
      </c>
      <c r="E59" s="485">
        <f>IF(+I14&lt;F58,I14,D59)</f>
        <v>339898.51162790699</v>
      </c>
      <c r="F59" s="486">
        <f t="shared" si="14"/>
        <v>852985.29693495296</v>
      </c>
      <c r="G59" s="487">
        <f t="shared" si="15"/>
        <v>457593.61247476918</v>
      </c>
      <c r="H59" s="456">
        <f t="shared" si="16"/>
        <v>457593.61247476918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6"/>
        <v/>
      </c>
      <c r="C60" s="473">
        <f>IF(D11="","-",+C59+1)</f>
        <v>2051</v>
      </c>
      <c r="D60" s="486">
        <f>IF(F59+SUM(E$17:E59)=D$10,F59,D$10-SUM(E$17:E59))</f>
        <v>852985.29693495296</v>
      </c>
      <c r="E60" s="485">
        <f>IF(+I14&lt;F59,I14,D60)</f>
        <v>339898.51162790699</v>
      </c>
      <c r="F60" s="486">
        <f t="shared" si="14"/>
        <v>513086.78530704597</v>
      </c>
      <c r="G60" s="487">
        <f t="shared" si="15"/>
        <v>418486.13536761503</v>
      </c>
      <c r="H60" s="456">
        <f t="shared" si="16"/>
        <v>418486.13536761503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6"/>
        <v/>
      </c>
      <c r="C61" s="473">
        <f>IF(D11="","-",+C60+1)</f>
        <v>2052</v>
      </c>
      <c r="D61" s="486">
        <f>IF(F60+SUM(E$17:E60)=D$10,F60,D$10-SUM(E$17:E60))</f>
        <v>513086.78530704597</v>
      </c>
      <c r="E61" s="485">
        <f>IF(+I14&lt;F60,I14,D61)</f>
        <v>339898.51162790699</v>
      </c>
      <c r="F61" s="486">
        <f t="shared" si="14"/>
        <v>173188.27367913898</v>
      </c>
      <c r="G61" s="487">
        <f t="shared" si="15"/>
        <v>379378.65826046077</v>
      </c>
      <c r="H61" s="456">
        <f t="shared" si="16"/>
        <v>379378.65826046077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6"/>
        <v/>
      </c>
      <c r="C62" s="473">
        <f>IF(D11="","-",+C61+1)</f>
        <v>2053</v>
      </c>
      <c r="D62" s="486">
        <f>IF(F61+SUM(E$17:E61)=D$10,F61,D$10-SUM(E$17:E61))</f>
        <v>173188.27367913898</v>
      </c>
      <c r="E62" s="485">
        <f>IF(+I14&lt;F61,I14,D62)</f>
        <v>173188.27367913898</v>
      </c>
      <c r="F62" s="486">
        <f t="shared" si="14"/>
        <v>0</v>
      </c>
      <c r="G62" s="487">
        <f t="shared" si="15"/>
        <v>183151.47771862734</v>
      </c>
      <c r="H62" s="456">
        <f t="shared" si="16"/>
        <v>183151.47771862734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6"/>
        <v/>
      </c>
      <c r="C63" s="473">
        <f>IF(D11="","-",+C62+1)</f>
        <v>2054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4"/>
        <v>0</v>
      </c>
      <c r="G63" s="487">
        <f t="shared" si="15"/>
        <v>0</v>
      </c>
      <c r="H63" s="456">
        <f t="shared" si="16"/>
        <v>0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6"/>
        <v/>
      </c>
      <c r="C64" s="473">
        <f>IF(D11="","-",+C63+1)</f>
        <v>2055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4"/>
        <v>0</v>
      </c>
      <c r="G64" s="487">
        <f t="shared" si="15"/>
        <v>0</v>
      </c>
      <c r="H64" s="456">
        <f t="shared" si="16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6"/>
        <v/>
      </c>
      <c r="C65" s="473">
        <f>IF(D11="","-",+C64+1)</f>
        <v>2056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4"/>
        <v>0</v>
      </c>
      <c r="G65" s="487">
        <f t="shared" si="15"/>
        <v>0</v>
      </c>
      <c r="H65" s="456">
        <f t="shared" si="16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6"/>
        <v/>
      </c>
      <c r="C66" s="473">
        <f>IF(D11="","-",+C65+1)</f>
        <v>2057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4"/>
        <v>0</v>
      </c>
      <c r="G66" s="487">
        <f t="shared" si="15"/>
        <v>0</v>
      </c>
      <c r="H66" s="456">
        <f t="shared" si="16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6"/>
        <v/>
      </c>
      <c r="C67" s="473">
        <f>IF(D11="","-",+C66+1)</f>
        <v>2058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4"/>
        <v>0</v>
      </c>
      <c r="G67" s="487">
        <f t="shared" si="15"/>
        <v>0</v>
      </c>
      <c r="H67" s="456">
        <f t="shared" si="16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6"/>
        <v/>
      </c>
      <c r="C68" s="473">
        <f>IF(D11="","-",+C67+1)</f>
        <v>2059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4"/>
        <v>0</v>
      </c>
      <c r="G68" s="487">
        <f t="shared" si="15"/>
        <v>0</v>
      </c>
      <c r="H68" s="456">
        <f t="shared" si="16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6"/>
        <v/>
      </c>
      <c r="C69" s="473">
        <f>IF(D11="","-",+C68+1)</f>
        <v>2060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4"/>
        <v>0</v>
      </c>
      <c r="G69" s="487">
        <f t="shared" si="15"/>
        <v>0</v>
      </c>
      <c r="H69" s="456">
        <f t="shared" si="16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6"/>
        <v/>
      </c>
      <c r="C70" s="473">
        <f>IF(D11="","-",+C69+1)</f>
        <v>2061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4"/>
        <v>0</v>
      </c>
      <c r="G70" s="487">
        <f t="shared" si="15"/>
        <v>0</v>
      </c>
      <c r="H70" s="456">
        <f t="shared" si="16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6"/>
        <v/>
      </c>
      <c r="C71" s="473">
        <f>IF(D11="","-",+C70+1)</f>
        <v>2062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4"/>
        <v>0</v>
      </c>
      <c r="G71" s="487">
        <f t="shared" si="15"/>
        <v>0</v>
      </c>
      <c r="H71" s="456">
        <f t="shared" si="16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2063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4"/>
        <v>0</v>
      </c>
      <c r="G72" s="491">
        <f t="shared" si="15"/>
        <v>0</v>
      </c>
      <c r="H72" s="491">
        <f t="shared" si="16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14615635.999999996</v>
      </c>
      <c r="F73" s="348"/>
      <c r="G73" s="348">
        <f>SUM(G17:G72)</f>
        <v>56626910.278906152</v>
      </c>
      <c r="H73" s="348">
        <f>SUM(H17:H72)</f>
        <v>56626910.278906152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4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 t="str">
        <f>O4</f>
        <v>WFEC DA Adjustment</v>
      </c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IF(J92&lt;D11,0,VLOOKUP(J92,C17:O72,9))-P87</f>
        <v>1544541.2708098113</v>
      </c>
      <c r="N87" s="509">
        <f>IF(J92&lt;D11,0,VLOOKUP(J92,C17:O72,11))-P87</f>
        <v>1544541.2708098113</v>
      </c>
      <c r="O87" s="510">
        <f>+N87-M87</f>
        <v>0</v>
      </c>
      <c r="P87" s="343">
        <f>O5</f>
        <v>15688.800000000001</v>
      </c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IF(J92&lt;D11,0,VLOOKUP(J92,C99:P154,6))-P87</f>
        <v>1597710.8213131989</v>
      </c>
      <c r="N88" s="513">
        <f>IF(J92&lt;D11,0,VLOOKUP(J92,C99:P154,7))-P87</f>
        <v>1597710.8213131989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Cache-Snyder to Altus Jct. 138 kV line (w/2 ring bus stations)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53169.550503387582</v>
      </c>
      <c r="N89" s="518">
        <f>+N88-N87</f>
        <v>53169.550503387582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TP2004147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f>+D10</f>
        <v>14615636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7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339899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97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561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2008</v>
      </c>
      <c r="D99" s="474">
        <v>0</v>
      </c>
      <c r="E99" s="481">
        <v>114341</v>
      </c>
      <c r="F99" s="480">
        <v>14429811</v>
      </c>
      <c r="G99" s="538">
        <f t="shared" ref="G99:G130" si="21">+(F99+D99)/2</f>
        <v>7214905.5</v>
      </c>
      <c r="H99" s="539">
        <v>1260396</v>
      </c>
      <c r="I99" s="540">
        <v>1260396</v>
      </c>
      <c r="J99" s="479">
        <f t="shared" ref="J99:J131" si="22">+I99-H99</f>
        <v>0</v>
      </c>
      <c r="K99" s="479"/>
      <c r="L99" s="555">
        <v>1260396</v>
      </c>
      <c r="M99" s="478">
        <f t="shared" ref="M99:M130" si="23">IF(L99&lt;&gt;0,+H99-L99,0)</f>
        <v>0</v>
      </c>
      <c r="N99" s="555">
        <f>+L99</f>
        <v>1260396</v>
      </c>
      <c r="O99" s="478">
        <f t="shared" ref="O99:O130" si="24">IF(N99&lt;&gt;0,+I99-N99,0)</f>
        <v>0</v>
      </c>
      <c r="P99" s="478">
        <f t="shared" ref="P99:P130" si="25">+O99-M99</f>
        <v>0</v>
      </c>
    </row>
    <row r="100" spans="1:16" ht="12.5">
      <c r="B100" s="160" t="str">
        <f>IF(D100=F99,"","IU")</f>
        <v>IU</v>
      </c>
      <c r="C100" s="473">
        <f>IF(D93="","-",+C99+1)</f>
        <v>2009</v>
      </c>
      <c r="D100" s="474">
        <v>14569170</v>
      </c>
      <c r="E100" s="481">
        <v>262206</v>
      </c>
      <c r="F100" s="480">
        <v>14306964</v>
      </c>
      <c r="G100" s="480">
        <v>14438067</v>
      </c>
      <c r="H100" s="481">
        <v>2373171</v>
      </c>
      <c r="I100" s="482">
        <v>2373171</v>
      </c>
      <c r="J100" s="479">
        <f t="shared" si="22"/>
        <v>0</v>
      </c>
      <c r="K100" s="479"/>
      <c r="L100" s="477">
        <f t="shared" ref="L100:L105" si="26">H100</f>
        <v>2373171</v>
      </c>
      <c r="M100" s="479">
        <f t="shared" si="23"/>
        <v>0</v>
      </c>
      <c r="N100" s="477">
        <f t="shared" ref="N100:N105" si="27">I100</f>
        <v>2373171</v>
      </c>
      <c r="O100" s="479">
        <f t="shared" si="24"/>
        <v>0</v>
      </c>
      <c r="P100" s="479">
        <f t="shared" si="25"/>
        <v>0</v>
      </c>
    </row>
    <row r="101" spans="1:16" ht="12.5">
      <c r="B101" s="160" t="str">
        <f t="shared" ref="B101:B154" si="28">IF(D101=F100,"","IU")</f>
        <v>IU</v>
      </c>
      <c r="C101" s="473">
        <f>IF(D93="","-",+C100+1)</f>
        <v>2010</v>
      </c>
      <c r="D101" s="474">
        <v>14239089</v>
      </c>
      <c r="E101" s="481">
        <v>286581</v>
      </c>
      <c r="F101" s="480">
        <v>13952508</v>
      </c>
      <c r="G101" s="480">
        <v>14095798.5</v>
      </c>
      <c r="H101" s="481">
        <v>2553400</v>
      </c>
      <c r="I101" s="482">
        <v>2553400</v>
      </c>
      <c r="J101" s="479">
        <f t="shared" si="22"/>
        <v>0</v>
      </c>
      <c r="K101" s="479"/>
      <c r="L101" s="541">
        <f t="shared" si="26"/>
        <v>2553400</v>
      </c>
      <c r="M101" s="542">
        <f t="shared" si="23"/>
        <v>0</v>
      </c>
      <c r="N101" s="541">
        <f t="shared" si="27"/>
        <v>2553400</v>
      </c>
      <c r="O101" s="479">
        <f t="shared" si="24"/>
        <v>0</v>
      </c>
      <c r="P101" s="479">
        <f t="shared" si="25"/>
        <v>0</v>
      </c>
    </row>
    <row r="102" spans="1:16" ht="12.5">
      <c r="B102" s="160" t="str">
        <f t="shared" si="28"/>
        <v/>
      </c>
      <c r="C102" s="473">
        <f>IF(D93="","-",+C101+1)</f>
        <v>2011</v>
      </c>
      <c r="D102" s="474">
        <v>13952508</v>
      </c>
      <c r="E102" s="481">
        <v>281070</v>
      </c>
      <c r="F102" s="480">
        <v>13671438</v>
      </c>
      <c r="G102" s="480">
        <v>13811973</v>
      </c>
      <c r="H102" s="481">
        <v>2212169</v>
      </c>
      <c r="I102" s="482">
        <v>2212169</v>
      </c>
      <c r="J102" s="479">
        <f t="shared" si="22"/>
        <v>0</v>
      </c>
      <c r="K102" s="479"/>
      <c r="L102" s="541">
        <f t="shared" si="26"/>
        <v>2212169</v>
      </c>
      <c r="M102" s="542">
        <f t="shared" si="23"/>
        <v>0</v>
      </c>
      <c r="N102" s="541">
        <f t="shared" si="27"/>
        <v>2212169</v>
      </c>
      <c r="O102" s="479">
        <f t="shared" si="24"/>
        <v>0</v>
      </c>
      <c r="P102" s="479">
        <f t="shared" si="25"/>
        <v>0</v>
      </c>
    </row>
    <row r="103" spans="1:16" ht="12.5">
      <c r="B103" s="160" t="str">
        <f t="shared" si="28"/>
        <v/>
      </c>
      <c r="C103" s="473">
        <f>IF(D93="","-",+C102+1)</f>
        <v>2012</v>
      </c>
      <c r="D103" s="474">
        <v>13671438</v>
      </c>
      <c r="E103" s="481">
        <v>281070</v>
      </c>
      <c r="F103" s="480">
        <v>13390368</v>
      </c>
      <c r="G103" s="480">
        <v>13530903</v>
      </c>
      <c r="H103" s="481">
        <v>2227565</v>
      </c>
      <c r="I103" s="482">
        <v>2227565</v>
      </c>
      <c r="J103" s="479">
        <v>0</v>
      </c>
      <c r="K103" s="479"/>
      <c r="L103" s="541">
        <f t="shared" si="26"/>
        <v>2227565</v>
      </c>
      <c r="M103" s="542">
        <f t="shared" ref="M103:M108" si="29">IF(L103&lt;&gt;0,+H103-L103,0)</f>
        <v>0</v>
      </c>
      <c r="N103" s="541">
        <f t="shared" si="27"/>
        <v>2227565</v>
      </c>
      <c r="O103" s="479">
        <f t="shared" ref="O103:O108" si="30">IF(N103&lt;&gt;0,+I103-N103,0)</f>
        <v>0</v>
      </c>
      <c r="P103" s="479">
        <f t="shared" ref="P103:P108" si="31">+O103-M103</f>
        <v>0</v>
      </c>
    </row>
    <row r="104" spans="1:16" ht="12.5">
      <c r="B104" s="160" t="str">
        <f t="shared" si="28"/>
        <v/>
      </c>
      <c r="C104" s="473">
        <f>IF(D93="","-",+C103+1)</f>
        <v>2013</v>
      </c>
      <c r="D104" s="474">
        <v>13390368</v>
      </c>
      <c r="E104" s="481">
        <v>281070</v>
      </c>
      <c r="F104" s="480">
        <v>13109298</v>
      </c>
      <c r="G104" s="480">
        <v>13249833</v>
      </c>
      <c r="H104" s="481">
        <v>2188246</v>
      </c>
      <c r="I104" s="482">
        <v>2188246</v>
      </c>
      <c r="J104" s="479">
        <v>0</v>
      </c>
      <c r="K104" s="479"/>
      <c r="L104" s="541">
        <f t="shared" si="26"/>
        <v>2188246</v>
      </c>
      <c r="M104" s="542">
        <f t="shared" si="29"/>
        <v>0</v>
      </c>
      <c r="N104" s="541">
        <f t="shared" si="27"/>
        <v>2188246</v>
      </c>
      <c r="O104" s="479">
        <f t="shared" si="30"/>
        <v>0</v>
      </c>
      <c r="P104" s="479">
        <f t="shared" si="31"/>
        <v>0</v>
      </c>
    </row>
    <row r="105" spans="1:16" ht="12.5">
      <c r="B105" s="160" t="str">
        <f t="shared" si="28"/>
        <v/>
      </c>
      <c r="C105" s="473">
        <f>IF(D93="","-",+C104+1)</f>
        <v>2014</v>
      </c>
      <c r="D105" s="474">
        <v>13109298</v>
      </c>
      <c r="E105" s="481">
        <v>281070</v>
      </c>
      <c r="F105" s="480">
        <v>12828228</v>
      </c>
      <c r="G105" s="480">
        <v>12968763</v>
      </c>
      <c r="H105" s="481">
        <v>2104425</v>
      </c>
      <c r="I105" s="482">
        <v>2104425</v>
      </c>
      <c r="J105" s="479">
        <v>0</v>
      </c>
      <c r="K105" s="479"/>
      <c r="L105" s="541">
        <f t="shared" si="26"/>
        <v>2104425</v>
      </c>
      <c r="M105" s="542">
        <f t="shared" si="29"/>
        <v>0</v>
      </c>
      <c r="N105" s="541">
        <f t="shared" si="27"/>
        <v>2104425</v>
      </c>
      <c r="O105" s="479">
        <f t="shared" si="30"/>
        <v>0</v>
      </c>
      <c r="P105" s="479">
        <f t="shared" si="31"/>
        <v>0</v>
      </c>
    </row>
    <row r="106" spans="1:16" ht="12.5">
      <c r="B106" s="160" t="str">
        <f t="shared" si="28"/>
        <v/>
      </c>
      <c r="C106" s="473">
        <f>IF(D93="","-",+C105+1)</f>
        <v>2015</v>
      </c>
      <c r="D106" s="474">
        <v>12828228</v>
      </c>
      <c r="E106" s="481">
        <v>281070</v>
      </c>
      <c r="F106" s="480">
        <v>12547158</v>
      </c>
      <c r="G106" s="480">
        <v>12687693</v>
      </c>
      <c r="H106" s="481">
        <v>2012204</v>
      </c>
      <c r="I106" s="482">
        <v>2012204</v>
      </c>
      <c r="J106" s="479">
        <f t="shared" si="22"/>
        <v>0</v>
      </c>
      <c r="K106" s="479"/>
      <c r="L106" s="541">
        <f>H106</f>
        <v>2012204</v>
      </c>
      <c r="M106" s="542">
        <f t="shared" si="29"/>
        <v>0</v>
      </c>
      <c r="N106" s="541">
        <f>I106</f>
        <v>2012204</v>
      </c>
      <c r="O106" s="479">
        <f t="shared" si="30"/>
        <v>0</v>
      </c>
      <c r="P106" s="479">
        <f t="shared" si="31"/>
        <v>0</v>
      </c>
    </row>
    <row r="107" spans="1:16" ht="12.5">
      <c r="B107" s="160" t="str">
        <f t="shared" si="28"/>
        <v/>
      </c>
      <c r="C107" s="473">
        <f>IF(D93="","-",+C106+1)</f>
        <v>2016</v>
      </c>
      <c r="D107" s="474">
        <v>12547158</v>
      </c>
      <c r="E107" s="481">
        <v>317731</v>
      </c>
      <c r="F107" s="480">
        <v>12229427</v>
      </c>
      <c r="G107" s="480">
        <v>12388292.5</v>
      </c>
      <c r="H107" s="481">
        <v>1914777</v>
      </c>
      <c r="I107" s="482">
        <v>1914777</v>
      </c>
      <c r="J107" s="479">
        <f t="shared" si="22"/>
        <v>0</v>
      </c>
      <c r="K107" s="479"/>
      <c r="L107" s="541">
        <f>H107</f>
        <v>1914777</v>
      </c>
      <c r="M107" s="542">
        <f t="shared" si="29"/>
        <v>0</v>
      </c>
      <c r="N107" s="541">
        <f>I107</f>
        <v>1914777</v>
      </c>
      <c r="O107" s="479">
        <f t="shared" si="30"/>
        <v>0</v>
      </c>
      <c r="P107" s="479">
        <f t="shared" si="31"/>
        <v>0</v>
      </c>
    </row>
    <row r="108" spans="1:16" ht="12.5">
      <c r="B108" s="160" t="str">
        <f t="shared" si="28"/>
        <v/>
      </c>
      <c r="C108" s="473">
        <f>IF(D93="","-",+C107+1)</f>
        <v>2017</v>
      </c>
      <c r="D108" s="474">
        <v>12229427</v>
      </c>
      <c r="E108" s="481">
        <v>317731</v>
      </c>
      <c r="F108" s="480">
        <v>11911696</v>
      </c>
      <c r="G108" s="480">
        <v>12070561.5</v>
      </c>
      <c r="H108" s="481">
        <v>1848912</v>
      </c>
      <c r="I108" s="482">
        <v>1848912</v>
      </c>
      <c r="J108" s="479">
        <f t="shared" si="22"/>
        <v>0</v>
      </c>
      <c r="K108" s="479"/>
      <c r="L108" s="541">
        <f>H108</f>
        <v>1848912</v>
      </c>
      <c r="M108" s="542">
        <f t="shared" si="29"/>
        <v>0</v>
      </c>
      <c r="N108" s="541">
        <f>I108</f>
        <v>1848912</v>
      </c>
      <c r="O108" s="479">
        <f t="shared" si="30"/>
        <v>0</v>
      </c>
      <c r="P108" s="479">
        <f t="shared" si="31"/>
        <v>0</v>
      </c>
    </row>
    <row r="109" spans="1:16" ht="12.5">
      <c r="B109" s="160" t="str">
        <f t="shared" si="28"/>
        <v/>
      </c>
      <c r="C109" s="473">
        <f>IF(D93="","-",+C108+1)</f>
        <v>2018</v>
      </c>
      <c r="D109" s="474">
        <v>11911696</v>
      </c>
      <c r="E109" s="481">
        <v>339899</v>
      </c>
      <c r="F109" s="480">
        <v>11571797</v>
      </c>
      <c r="G109" s="480">
        <v>11741746.5</v>
      </c>
      <c r="H109" s="481">
        <v>1546194</v>
      </c>
      <c r="I109" s="482">
        <v>1546194</v>
      </c>
      <c r="J109" s="479">
        <f t="shared" si="22"/>
        <v>0</v>
      </c>
      <c r="K109" s="479"/>
      <c r="L109" s="541">
        <f>H109</f>
        <v>1546194</v>
      </c>
      <c r="M109" s="542">
        <f t="shared" ref="M109" si="32">IF(L109&lt;&gt;0,+H109-L109,0)</f>
        <v>0</v>
      </c>
      <c r="N109" s="541">
        <f>I109</f>
        <v>1546194</v>
      </c>
      <c r="O109" s="479">
        <f t="shared" ref="O109" si="33">IF(N109&lt;&gt;0,+I109-N109,0)</f>
        <v>0</v>
      </c>
      <c r="P109" s="479">
        <f t="shared" ref="P109" si="34">+O109-M109</f>
        <v>0</v>
      </c>
    </row>
    <row r="110" spans="1:16" ht="12.5">
      <c r="B110" s="160" t="str">
        <f t="shared" si="28"/>
        <v/>
      </c>
      <c r="C110" s="473">
        <f>IF(D93="","-",+C109+1)</f>
        <v>2019</v>
      </c>
      <c r="D110" s="474">
        <v>11571797</v>
      </c>
      <c r="E110" s="481">
        <v>356479</v>
      </c>
      <c r="F110" s="480">
        <v>11215318</v>
      </c>
      <c r="G110" s="480">
        <v>11393557.5</v>
      </c>
      <c r="H110" s="481">
        <v>1531315</v>
      </c>
      <c r="I110" s="482">
        <v>1531315</v>
      </c>
      <c r="J110" s="479">
        <f t="shared" si="22"/>
        <v>0</v>
      </c>
      <c r="K110" s="479"/>
      <c r="L110" s="541">
        <f>H110</f>
        <v>1531315</v>
      </c>
      <c r="M110" s="542">
        <f t="shared" ref="M110" si="35">IF(L110&lt;&gt;0,+H110-L110,0)</f>
        <v>0</v>
      </c>
      <c r="N110" s="541">
        <f>I110</f>
        <v>1531315</v>
      </c>
      <c r="O110" s="479">
        <f t="shared" si="24"/>
        <v>0</v>
      </c>
      <c r="P110" s="479">
        <f t="shared" si="25"/>
        <v>0</v>
      </c>
    </row>
    <row r="111" spans="1:16" ht="12.5">
      <c r="B111" s="160" t="str">
        <f t="shared" si="28"/>
        <v/>
      </c>
      <c r="C111" s="473">
        <f>IF(D93="","-",+C110+1)</f>
        <v>2020</v>
      </c>
      <c r="D111" s="347">
        <f>IF(F110+SUM(E$99:E110)=D$92,F110,D$92-SUM(E$99:E110))</f>
        <v>11215318</v>
      </c>
      <c r="E111" s="487">
        <f>IF(+J96&lt;F110,J96,D111)</f>
        <v>339899</v>
      </c>
      <c r="F111" s="486">
        <f t="shared" ref="F111:F130" si="36">+D111-E111</f>
        <v>10875419</v>
      </c>
      <c r="G111" s="486">
        <f t="shared" si="21"/>
        <v>11045368.5</v>
      </c>
      <c r="H111" s="487">
        <f>(D111+F111)/2*J$94+E111</f>
        <v>1613399.6213131989</v>
      </c>
      <c r="I111" s="543">
        <f t="shared" ref="I111:I153" si="37">+J$95*G111+E111</f>
        <v>1613399.6213131989</v>
      </c>
      <c r="J111" s="479">
        <f t="shared" si="22"/>
        <v>0</v>
      </c>
      <c r="K111" s="479"/>
      <c r="L111" s="488"/>
      <c r="M111" s="479">
        <f t="shared" si="23"/>
        <v>0</v>
      </c>
      <c r="N111" s="488"/>
      <c r="O111" s="479">
        <f t="shared" si="24"/>
        <v>0</v>
      </c>
      <c r="P111" s="479">
        <f t="shared" si="25"/>
        <v>0</v>
      </c>
    </row>
    <row r="112" spans="1:16" ht="12.5">
      <c r="B112" s="160" t="str">
        <f t="shared" si="28"/>
        <v/>
      </c>
      <c r="C112" s="473">
        <f>IF(D93="","-",+C111+1)</f>
        <v>2021</v>
      </c>
      <c r="D112" s="347">
        <f>IF(F111+SUM(E$99:E111)=D$92,F111,D$92-SUM(E$99:E111))</f>
        <v>10875419</v>
      </c>
      <c r="E112" s="487">
        <f>IF(+J96&lt;F111,J96,D112)</f>
        <v>339899</v>
      </c>
      <c r="F112" s="486">
        <f t="shared" si="36"/>
        <v>10535520</v>
      </c>
      <c r="G112" s="486">
        <f t="shared" si="21"/>
        <v>10705469.5</v>
      </c>
      <c r="H112" s="487">
        <f t="shared" ref="H112:H154" si="38">(D112+F112)/2*J$94+E112</f>
        <v>1574210.2010884471</v>
      </c>
      <c r="I112" s="543">
        <f t="shared" si="37"/>
        <v>1574210.2010884471</v>
      </c>
      <c r="J112" s="479">
        <f t="shared" si="22"/>
        <v>0</v>
      </c>
      <c r="K112" s="479"/>
      <c r="L112" s="488"/>
      <c r="M112" s="479">
        <f t="shared" si="23"/>
        <v>0</v>
      </c>
      <c r="N112" s="488"/>
      <c r="O112" s="479">
        <f t="shared" si="24"/>
        <v>0</v>
      </c>
      <c r="P112" s="479">
        <f t="shared" si="25"/>
        <v>0</v>
      </c>
    </row>
    <row r="113" spans="2:16" ht="12.5">
      <c r="B113" s="160" t="str">
        <f t="shared" si="28"/>
        <v/>
      </c>
      <c r="C113" s="473">
        <f>IF(D93="","-",+C112+1)</f>
        <v>2022</v>
      </c>
      <c r="D113" s="347">
        <f>IF(F112+SUM(E$99:E112)=D$92,F112,D$92-SUM(E$99:E112))</f>
        <v>10535520</v>
      </c>
      <c r="E113" s="487">
        <f>IF(+J96&lt;F112,J96,D113)</f>
        <v>339899</v>
      </c>
      <c r="F113" s="486">
        <f t="shared" si="36"/>
        <v>10195621</v>
      </c>
      <c r="G113" s="486">
        <f t="shared" si="21"/>
        <v>10365570.5</v>
      </c>
      <c r="H113" s="487">
        <f t="shared" si="38"/>
        <v>1535020.7808636955</v>
      </c>
      <c r="I113" s="543">
        <f t="shared" si="37"/>
        <v>1535020.7808636955</v>
      </c>
      <c r="J113" s="479">
        <f t="shared" si="22"/>
        <v>0</v>
      </c>
      <c r="K113" s="479"/>
      <c r="L113" s="488"/>
      <c r="M113" s="479">
        <f t="shared" si="23"/>
        <v>0</v>
      </c>
      <c r="N113" s="488"/>
      <c r="O113" s="479">
        <f t="shared" si="24"/>
        <v>0</v>
      </c>
      <c r="P113" s="479">
        <f t="shared" si="25"/>
        <v>0</v>
      </c>
    </row>
    <row r="114" spans="2:16" ht="12.5">
      <c r="B114" s="160" t="str">
        <f t="shared" si="28"/>
        <v/>
      </c>
      <c r="C114" s="473">
        <f>IF(D93="","-",+C113+1)</f>
        <v>2023</v>
      </c>
      <c r="D114" s="347">
        <f>IF(F113+SUM(E$99:E113)=D$92,F113,D$92-SUM(E$99:E113))</f>
        <v>10195621</v>
      </c>
      <c r="E114" s="487">
        <f>IF(+J96&lt;F113,J96,D114)</f>
        <v>339899</v>
      </c>
      <c r="F114" s="486">
        <f t="shared" si="36"/>
        <v>9855722</v>
      </c>
      <c r="G114" s="486">
        <f t="shared" si="21"/>
        <v>10025671.5</v>
      </c>
      <c r="H114" s="487">
        <f t="shared" si="38"/>
        <v>1495831.360638944</v>
      </c>
      <c r="I114" s="543">
        <f t="shared" si="37"/>
        <v>1495831.360638944</v>
      </c>
      <c r="J114" s="479">
        <f t="shared" si="22"/>
        <v>0</v>
      </c>
      <c r="K114" s="479"/>
      <c r="L114" s="488"/>
      <c r="M114" s="479">
        <f t="shared" si="23"/>
        <v>0</v>
      </c>
      <c r="N114" s="488"/>
      <c r="O114" s="479">
        <f t="shared" si="24"/>
        <v>0</v>
      </c>
      <c r="P114" s="479">
        <f t="shared" si="25"/>
        <v>0</v>
      </c>
    </row>
    <row r="115" spans="2:16" ht="12.5">
      <c r="B115" s="160" t="str">
        <f t="shared" si="28"/>
        <v/>
      </c>
      <c r="C115" s="473">
        <f>IF(D93="","-",+C114+1)</f>
        <v>2024</v>
      </c>
      <c r="D115" s="347">
        <f>IF(F114+SUM(E$99:E114)=D$92,F114,D$92-SUM(E$99:E114))</f>
        <v>9855722</v>
      </c>
      <c r="E115" s="487">
        <f>IF(+J96&lt;F114,J96,D115)</f>
        <v>339899</v>
      </c>
      <c r="F115" s="486">
        <f t="shared" si="36"/>
        <v>9515823</v>
      </c>
      <c r="G115" s="486">
        <f t="shared" si="21"/>
        <v>9685772.5</v>
      </c>
      <c r="H115" s="487">
        <f t="shared" si="38"/>
        <v>1456641.9404141922</v>
      </c>
      <c r="I115" s="543">
        <f t="shared" si="37"/>
        <v>1456641.9404141922</v>
      </c>
      <c r="J115" s="479">
        <f t="shared" si="22"/>
        <v>0</v>
      </c>
      <c r="K115" s="479"/>
      <c r="L115" s="488"/>
      <c r="M115" s="479">
        <f t="shared" si="23"/>
        <v>0</v>
      </c>
      <c r="N115" s="488"/>
      <c r="O115" s="479">
        <f t="shared" si="24"/>
        <v>0</v>
      </c>
      <c r="P115" s="479">
        <f t="shared" si="25"/>
        <v>0</v>
      </c>
    </row>
    <row r="116" spans="2:16" ht="12.5">
      <c r="B116" s="160" t="str">
        <f t="shared" si="28"/>
        <v/>
      </c>
      <c r="C116" s="473">
        <f>IF(D93="","-",+C115+1)</f>
        <v>2025</v>
      </c>
      <c r="D116" s="347">
        <f>IF(F115+SUM(E$99:E115)=D$92,F115,D$92-SUM(E$99:E115))</f>
        <v>9515823</v>
      </c>
      <c r="E116" s="487">
        <f>IF(+J96&lt;F115,J96,D116)</f>
        <v>339899</v>
      </c>
      <c r="F116" s="486">
        <f t="shared" si="36"/>
        <v>9175924</v>
      </c>
      <c r="G116" s="486">
        <f t="shared" si="21"/>
        <v>9345873.5</v>
      </c>
      <c r="H116" s="487">
        <f t="shared" si="38"/>
        <v>1417452.5201894406</v>
      </c>
      <c r="I116" s="543">
        <f t="shared" si="37"/>
        <v>1417452.5201894406</v>
      </c>
      <c r="J116" s="479">
        <f t="shared" si="22"/>
        <v>0</v>
      </c>
      <c r="K116" s="479"/>
      <c r="L116" s="488"/>
      <c r="M116" s="479">
        <f t="shared" si="23"/>
        <v>0</v>
      </c>
      <c r="N116" s="488"/>
      <c r="O116" s="479">
        <f t="shared" si="24"/>
        <v>0</v>
      </c>
      <c r="P116" s="479">
        <f t="shared" si="25"/>
        <v>0</v>
      </c>
    </row>
    <row r="117" spans="2:16" ht="12.5">
      <c r="B117" s="160" t="str">
        <f t="shared" si="28"/>
        <v/>
      </c>
      <c r="C117" s="473">
        <f>IF(D93="","-",+C116+1)</f>
        <v>2026</v>
      </c>
      <c r="D117" s="347">
        <f>IF(F116+SUM(E$99:E116)=D$92,F116,D$92-SUM(E$99:E116))</f>
        <v>9175924</v>
      </c>
      <c r="E117" s="487">
        <f>IF(+J96&lt;F116,J96,D117)</f>
        <v>339899</v>
      </c>
      <c r="F117" s="486">
        <f t="shared" si="36"/>
        <v>8836025</v>
      </c>
      <c r="G117" s="486">
        <f t="shared" si="21"/>
        <v>9005974.5</v>
      </c>
      <c r="H117" s="487">
        <f t="shared" si="38"/>
        <v>1378263.099964689</v>
      </c>
      <c r="I117" s="543">
        <f t="shared" si="37"/>
        <v>1378263.099964689</v>
      </c>
      <c r="J117" s="479">
        <f t="shared" si="22"/>
        <v>0</v>
      </c>
      <c r="K117" s="479"/>
      <c r="L117" s="488"/>
      <c r="M117" s="479">
        <f t="shared" si="23"/>
        <v>0</v>
      </c>
      <c r="N117" s="488"/>
      <c r="O117" s="479">
        <f t="shared" si="24"/>
        <v>0</v>
      </c>
      <c r="P117" s="479">
        <f t="shared" si="25"/>
        <v>0</v>
      </c>
    </row>
    <row r="118" spans="2:16" ht="12.5">
      <c r="B118" s="160" t="str">
        <f t="shared" si="28"/>
        <v/>
      </c>
      <c r="C118" s="473">
        <f>IF(D93="","-",+C117+1)</f>
        <v>2027</v>
      </c>
      <c r="D118" s="347">
        <f>IF(F117+SUM(E$99:E117)=D$92,F117,D$92-SUM(E$99:E117))</f>
        <v>8836025</v>
      </c>
      <c r="E118" s="487">
        <f>IF(+J96&lt;F117,J96,D118)</f>
        <v>339899</v>
      </c>
      <c r="F118" s="486">
        <f t="shared" si="36"/>
        <v>8496126</v>
      </c>
      <c r="G118" s="486">
        <f t="shared" si="21"/>
        <v>8666075.5</v>
      </c>
      <c r="H118" s="487">
        <f t="shared" si="38"/>
        <v>1339073.6797399372</v>
      </c>
      <c r="I118" s="543">
        <f t="shared" si="37"/>
        <v>1339073.6797399372</v>
      </c>
      <c r="J118" s="479">
        <f t="shared" si="22"/>
        <v>0</v>
      </c>
      <c r="K118" s="479"/>
      <c r="L118" s="488"/>
      <c r="M118" s="479">
        <f t="shared" si="23"/>
        <v>0</v>
      </c>
      <c r="N118" s="488"/>
      <c r="O118" s="479">
        <f t="shared" si="24"/>
        <v>0</v>
      </c>
      <c r="P118" s="479">
        <f t="shared" si="25"/>
        <v>0</v>
      </c>
    </row>
    <row r="119" spans="2:16" ht="12.5">
      <c r="B119" s="160" t="str">
        <f t="shared" si="28"/>
        <v/>
      </c>
      <c r="C119" s="473">
        <f>IF(D93="","-",+C118+1)</f>
        <v>2028</v>
      </c>
      <c r="D119" s="347">
        <f>IF(F118+SUM(E$99:E118)=D$92,F118,D$92-SUM(E$99:E118))</f>
        <v>8496126</v>
      </c>
      <c r="E119" s="487">
        <f>IF(+J96&lt;F118,J96,D119)</f>
        <v>339899</v>
      </c>
      <c r="F119" s="486">
        <f t="shared" si="36"/>
        <v>8156227</v>
      </c>
      <c r="G119" s="486">
        <f t="shared" si="21"/>
        <v>8326176.5</v>
      </c>
      <c r="H119" s="487">
        <f t="shared" si="38"/>
        <v>1299884.2595151856</v>
      </c>
      <c r="I119" s="543">
        <f t="shared" si="37"/>
        <v>1299884.2595151856</v>
      </c>
      <c r="J119" s="479">
        <f t="shared" si="22"/>
        <v>0</v>
      </c>
      <c r="K119" s="479"/>
      <c r="L119" s="488"/>
      <c r="M119" s="479">
        <f t="shared" si="23"/>
        <v>0</v>
      </c>
      <c r="N119" s="488"/>
      <c r="O119" s="479">
        <f t="shared" si="24"/>
        <v>0</v>
      </c>
      <c r="P119" s="479">
        <f t="shared" si="25"/>
        <v>0</v>
      </c>
    </row>
    <row r="120" spans="2:16" ht="12.5">
      <c r="B120" s="160" t="str">
        <f t="shared" si="28"/>
        <v/>
      </c>
      <c r="C120" s="473">
        <f>IF(D93="","-",+C119+1)</f>
        <v>2029</v>
      </c>
      <c r="D120" s="347">
        <f>IF(F119+SUM(E$99:E119)=D$92,F119,D$92-SUM(E$99:E119))</f>
        <v>8156227</v>
      </c>
      <c r="E120" s="487">
        <f>IF(+J96&lt;F119,J96,D120)</f>
        <v>339899</v>
      </c>
      <c r="F120" s="486">
        <f t="shared" si="36"/>
        <v>7816328</v>
      </c>
      <c r="G120" s="486">
        <f t="shared" si="21"/>
        <v>7986277.5</v>
      </c>
      <c r="H120" s="487">
        <f t="shared" si="38"/>
        <v>1260694.839290434</v>
      </c>
      <c r="I120" s="543">
        <f t="shared" si="37"/>
        <v>1260694.839290434</v>
      </c>
      <c r="J120" s="479">
        <f t="shared" si="22"/>
        <v>0</v>
      </c>
      <c r="K120" s="479"/>
      <c r="L120" s="488"/>
      <c r="M120" s="479">
        <f t="shared" si="23"/>
        <v>0</v>
      </c>
      <c r="N120" s="488"/>
      <c r="O120" s="479">
        <f t="shared" si="24"/>
        <v>0</v>
      </c>
      <c r="P120" s="479">
        <f t="shared" si="25"/>
        <v>0</v>
      </c>
    </row>
    <row r="121" spans="2:16" ht="12.5">
      <c r="B121" s="160" t="str">
        <f t="shared" si="28"/>
        <v/>
      </c>
      <c r="C121" s="473">
        <f>IF(D93="","-",+C120+1)</f>
        <v>2030</v>
      </c>
      <c r="D121" s="347">
        <f>IF(F120+SUM(E$99:E120)=D$92,F120,D$92-SUM(E$99:E120))</f>
        <v>7816328</v>
      </c>
      <c r="E121" s="487">
        <f>IF(+J96&lt;F120,J96,D121)</f>
        <v>339899</v>
      </c>
      <c r="F121" s="486">
        <f t="shared" si="36"/>
        <v>7476429</v>
      </c>
      <c r="G121" s="486">
        <f t="shared" si="21"/>
        <v>7646378.5</v>
      </c>
      <c r="H121" s="487">
        <f t="shared" si="38"/>
        <v>1221505.4190656822</v>
      </c>
      <c r="I121" s="543">
        <f t="shared" si="37"/>
        <v>1221505.4190656822</v>
      </c>
      <c r="J121" s="479">
        <f t="shared" si="22"/>
        <v>0</v>
      </c>
      <c r="K121" s="479"/>
      <c r="L121" s="488"/>
      <c r="M121" s="479">
        <f t="shared" si="23"/>
        <v>0</v>
      </c>
      <c r="N121" s="488"/>
      <c r="O121" s="479">
        <f t="shared" si="24"/>
        <v>0</v>
      </c>
      <c r="P121" s="479">
        <f t="shared" si="25"/>
        <v>0</v>
      </c>
    </row>
    <row r="122" spans="2:16" ht="12.5">
      <c r="B122" s="160" t="str">
        <f t="shared" si="28"/>
        <v/>
      </c>
      <c r="C122" s="473">
        <f>IF(D93="","-",+C121+1)</f>
        <v>2031</v>
      </c>
      <c r="D122" s="347">
        <f>IF(F121+SUM(E$99:E121)=D$92,F121,D$92-SUM(E$99:E121))</f>
        <v>7476429</v>
      </c>
      <c r="E122" s="487">
        <f>IF(+J96&lt;F121,J96,D122)</f>
        <v>339899</v>
      </c>
      <c r="F122" s="486">
        <f t="shared" si="36"/>
        <v>7136530</v>
      </c>
      <c r="G122" s="486">
        <f t="shared" si="21"/>
        <v>7306479.5</v>
      </c>
      <c r="H122" s="487">
        <f t="shared" si="38"/>
        <v>1182315.9988409304</v>
      </c>
      <c r="I122" s="543">
        <f t="shared" si="37"/>
        <v>1182315.9988409304</v>
      </c>
      <c r="J122" s="479">
        <f t="shared" si="22"/>
        <v>0</v>
      </c>
      <c r="K122" s="479"/>
      <c r="L122" s="488"/>
      <c r="M122" s="479">
        <f t="shared" si="23"/>
        <v>0</v>
      </c>
      <c r="N122" s="488"/>
      <c r="O122" s="479">
        <f t="shared" si="24"/>
        <v>0</v>
      </c>
      <c r="P122" s="479">
        <f t="shared" si="25"/>
        <v>0</v>
      </c>
    </row>
    <row r="123" spans="2:16" ht="12.5">
      <c r="B123" s="160" t="str">
        <f t="shared" si="28"/>
        <v/>
      </c>
      <c r="C123" s="473">
        <f>IF(D93="","-",+C122+1)</f>
        <v>2032</v>
      </c>
      <c r="D123" s="347">
        <f>IF(F122+SUM(E$99:E122)=D$92,F122,D$92-SUM(E$99:E122))</f>
        <v>7136530</v>
      </c>
      <c r="E123" s="487">
        <f>IF(+J96&lt;F122,J96,D123)</f>
        <v>339899</v>
      </c>
      <c r="F123" s="486">
        <f t="shared" si="36"/>
        <v>6796631</v>
      </c>
      <c r="G123" s="486">
        <f t="shared" si="21"/>
        <v>6966580.5</v>
      </c>
      <c r="H123" s="487">
        <f t="shared" si="38"/>
        <v>1143126.5786161788</v>
      </c>
      <c r="I123" s="543">
        <f t="shared" si="37"/>
        <v>1143126.5786161788</v>
      </c>
      <c r="J123" s="479">
        <f t="shared" si="22"/>
        <v>0</v>
      </c>
      <c r="K123" s="479"/>
      <c r="L123" s="488"/>
      <c r="M123" s="479">
        <f t="shared" si="23"/>
        <v>0</v>
      </c>
      <c r="N123" s="488"/>
      <c r="O123" s="479">
        <f t="shared" si="24"/>
        <v>0</v>
      </c>
      <c r="P123" s="479">
        <f t="shared" si="25"/>
        <v>0</v>
      </c>
    </row>
    <row r="124" spans="2:16" ht="12.5">
      <c r="B124" s="160" t="str">
        <f t="shared" si="28"/>
        <v/>
      </c>
      <c r="C124" s="473">
        <f>IF(D93="","-",+C123+1)</f>
        <v>2033</v>
      </c>
      <c r="D124" s="347">
        <f>IF(F123+SUM(E$99:E123)=D$92,F123,D$92-SUM(E$99:E123))</f>
        <v>6796631</v>
      </c>
      <c r="E124" s="487">
        <f>IF(+J96&lt;F123,J96,D124)</f>
        <v>339899</v>
      </c>
      <c r="F124" s="486">
        <f t="shared" si="36"/>
        <v>6456732</v>
      </c>
      <c r="G124" s="486">
        <f t="shared" si="21"/>
        <v>6626681.5</v>
      </c>
      <c r="H124" s="487">
        <f t="shared" si="38"/>
        <v>1103937.1583914272</v>
      </c>
      <c r="I124" s="543">
        <f t="shared" si="37"/>
        <v>1103937.1583914272</v>
      </c>
      <c r="J124" s="479">
        <f t="shared" si="22"/>
        <v>0</v>
      </c>
      <c r="K124" s="479"/>
      <c r="L124" s="488"/>
      <c r="M124" s="479">
        <f t="shared" si="23"/>
        <v>0</v>
      </c>
      <c r="N124" s="488"/>
      <c r="O124" s="479">
        <f t="shared" si="24"/>
        <v>0</v>
      </c>
      <c r="P124" s="479">
        <f t="shared" si="25"/>
        <v>0</v>
      </c>
    </row>
    <row r="125" spans="2:16" ht="12.5">
      <c r="B125" s="160" t="str">
        <f t="shared" si="28"/>
        <v/>
      </c>
      <c r="C125" s="473">
        <f>IF(D93="","-",+C124+1)</f>
        <v>2034</v>
      </c>
      <c r="D125" s="347">
        <f>IF(F124+SUM(E$99:E124)=D$92,F124,D$92-SUM(E$99:E124))</f>
        <v>6456732</v>
      </c>
      <c r="E125" s="487">
        <f>IF(+J96&lt;F124,J96,D125)</f>
        <v>339899</v>
      </c>
      <c r="F125" s="486">
        <f t="shared" si="36"/>
        <v>6116833</v>
      </c>
      <c r="G125" s="486">
        <f t="shared" si="21"/>
        <v>6286782.5</v>
      </c>
      <c r="H125" s="487">
        <f t="shared" si="38"/>
        <v>1064747.7381666754</v>
      </c>
      <c r="I125" s="543">
        <f t="shared" si="37"/>
        <v>1064747.7381666754</v>
      </c>
      <c r="J125" s="479">
        <f t="shared" si="22"/>
        <v>0</v>
      </c>
      <c r="K125" s="479"/>
      <c r="L125" s="488"/>
      <c r="M125" s="479">
        <f t="shared" si="23"/>
        <v>0</v>
      </c>
      <c r="N125" s="488"/>
      <c r="O125" s="479">
        <f t="shared" si="24"/>
        <v>0</v>
      </c>
      <c r="P125" s="479">
        <f t="shared" si="25"/>
        <v>0</v>
      </c>
    </row>
    <row r="126" spans="2:16" ht="12.5">
      <c r="B126" s="160" t="str">
        <f t="shared" si="28"/>
        <v/>
      </c>
      <c r="C126" s="473">
        <f>IF(D93="","-",+C125+1)</f>
        <v>2035</v>
      </c>
      <c r="D126" s="347">
        <f>IF(F125+SUM(E$99:E125)=D$92,F125,D$92-SUM(E$99:E125))</f>
        <v>6116833</v>
      </c>
      <c r="E126" s="487">
        <f>IF(+J96&lt;F125,J96,D126)</f>
        <v>339899</v>
      </c>
      <c r="F126" s="486">
        <f t="shared" si="36"/>
        <v>5776934</v>
      </c>
      <c r="G126" s="486">
        <f t="shared" si="21"/>
        <v>5946883.5</v>
      </c>
      <c r="H126" s="487">
        <f t="shared" si="38"/>
        <v>1025558.3179419239</v>
      </c>
      <c r="I126" s="543">
        <f t="shared" si="37"/>
        <v>1025558.3179419239</v>
      </c>
      <c r="J126" s="479">
        <f t="shared" si="22"/>
        <v>0</v>
      </c>
      <c r="K126" s="479"/>
      <c r="L126" s="488"/>
      <c r="M126" s="479">
        <f t="shared" si="23"/>
        <v>0</v>
      </c>
      <c r="N126" s="488"/>
      <c r="O126" s="479">
        <f t="shared" si="24"/>
        <v>0</v>
      </c>
      <c r="P126" s="479">
        <f t="shared" si="25"/>
        <v>0</v>
      </c>
    </row>
    <row r="127" spans="2:16" ht="12.5">
      <c r="B127" s="160" t="str">
        <f t="shared" si="28"/>
        <v/>
      </c>
      <c r="C127" s="473">
        <f>IF(D93="","-",+C126+1)</f>
        <v>2036</v>
      </c>
      <c r="D127" s="347">
        <f>IF(F126+SUM(E$99:E126)=D$92,F126,D$92-SUM(E$99:E126))</f>
        <v>5776934</v>
      </c>
      <c r="E127" s="487">
        <f>IF(+J96&lt;F126,J96,D127)</f>
        <v>339899</v>
      </c>
      <c r="F127" s="486">
        <f t="shared" si="36"/>
        <v>5437035</v>
      </c>
      <c r="G127" s="486">
        <f t="shared" si="21"/>
        <v>5606984.5</v>
      </c>
      <c r="H127" s="487">
        <f t="shared" si="38"/>
        <v>986368.89771717216</v>
      </c>
      <c r="I127" s="543">
        <f t="shared" si="37"/>
        <v>986368.89771717216</v>
      </c>
      <c r="J127" s="479">
        <f t="shared" si="22"/>
        <v>0</v>
      </c>
      <c r="K127" s="479"/>
      <c r="L127" s="488"/>
      <c r="M127" s="479">
        <f t="shared" si="23"/>
        <v>0</v>
      </c>
      <c r="N127" s="488"/>
      <c r="O127" s="479">
        <f t="shared" si="24"/>
        <v>0</v>
      </c>
      <c r="P127" s="479">
        <f t="shared" si="25"/>
        <v>0</v>
      </c>
    </row>
    <row r="128" spans="2:16" ht="12.5">
      <c r="B128" s="160" t="str">
        <f t="shared" si="28"/>
        <v/>
      </c>
      <c r="C128" s="473">
        <f>IF(D93="","-",+C127+1)</f>
        <v>2037</v>
      </c>
      <c r="D128" s="347">
        <f>IF(F127+SUM(E$99:E127)=D$92,F127,D$92-SUM(E$99:E127))</f>
        <v>5437035</v>
      </c>
      <c r="E128" s="487">
        <f>IF(+J96&lt;F127,J96,D128)</f>
        <v>339899</v>
      </c>
      <c r="F128" s="486">
        <f t="shared" si="36"/>
        <v>5097136</v>
      </c>
      <c r="G128" s="486">
        <f t="shared" si="21"/>
        <v>5267085.5</v>
      </c>
      <c r="H128" s="487">
        <f t="shared" si="38"/>
        <v>947179.47749242058</v>
      </c>
      <c r="I128" s="543">
        <f t="shared" si="37"/>
        <v>947179.47749242058</v>
      </c>
      <c r="J128" s="479">
        <f t="shared" si="22"/>
        <v>0</v>
      </c>
      <c r="K128" s="479"/>
      <c r="L128" s="488"/>
      <c r="M128" s="479">
        <f t="shared" si="23"/>
        <v>0</v>
      </c>
      <c r="N128" s="488"/>
      <c r="O128" s="479">
        <f t="shared" si="24"/>
        <v>0</v>
      </c>
      <c r="P128" s="479">
        <f t="shared" si="25"/>
        <v>0</v>
      </c>
    </row>
    <row r="129" spans="2:16" ht="12.5">
      <c r="B129" s="160" t="str">
        <f t="shared" si="28"/>
        <v/>
      </c>
      <c r="C129" s="473">
        <f>IF(D93="","-",+C128+1)</f>
        <v>2038</v>
      </c>
      <c r="D129" s="347">
        <f>IF(F128+SUM(E$99:E128)=D$92,F128,D$92-SUM(E$99:E128))</f>
        <v>5097136</v>
      </c>
      <c r="E129" s="487">
        <f>IF(+J96&lt;F128,J96,D129)</f>
        <v>339899</v>
      </c>
      <c r="F129" s="486">
        <f t="shared" si="36"/>
        <v>4757237</v>
      </c>
      <c r="G129" s="486">
        <f t="shared" si="21"/>
        <v>4927186.5</v>
      </c>
      <c r="H129" s="487">
        <f t="shared" si="38"/>
        <v>907990.05726766889</v>
      </c>
      <c r="I129" s="543">
        <f t="shared" si="37"/>
        <v>907990.05726766889</v>
      </c>
      <c r="J129" s="479">
        <f t="shared" si="22"/>
        <v>0</v>
      </c>
      <c r="K129" s="479"/>
      <c r="L129" s="488"/>
      <c r="M129" s="479">
        <f t="shared" si="23"/>
        <v>0</v>
      </c>
      <c r="N129" s="488"/>
      <c r="O129" s="479">
        <f t="shared" si="24"/>
        <v>0</v>
      </c>
      <c r="P129" s="479">
        <f t="shared" si="25"/>
        <v>0</v>
      </c>
    </row>
    <row r="130" spans="2:16" ht="12.5">
      <c r="B130" s="160" t="str">
        <f t="shared" si="28"/>
        <v/>
      </c>
      <c r="C130" s="473">
        <f>IF(D93="","-",+C129+1)</f>
        <v>2039</v>
      </c>
      <c r="D130" s="347">
        <f>IF(F129+SUM(E$99:E129)=D$92,F129,D$92-SUM(E$99:E129))</f>
        <v>4757237</v>
      </c>
      <c r="E130" s="487">
        <f>IF(+J96&lt;F129,J96,D130)</f>
        <v>339899</v>
      </c>
      <c r="F130" s="486">
        <f t="shared" si="36"/>
        <v>4417338</v>
      </c>
      <c r="G130" s="486">
        <f t="shared" si="21"/>
        <v>4587287.5</v>
      </c>
      <c r="H130" s="487">
        <f t="shared" si="38"/>
        <v>868800.63704291719</v>
      </c>
      <c r="I130" s="543">
        <f t="shared" si="37"/>
        <v>868800.63704291719</v>
      </c>
      <c r="J130" s="479">
        <f t="shared" si="22"/>
        <v>0</v>
      </c>
      <c r="K130" s="479"/>
      <c r="L130" s="488"/>
      <c r="M130" s="479">
        <f t="shared" si="23"/>
        <v>0</v>
      </c>
      <c r="N130" s="488"/>
      <c r="O130" s="479">
        <f t="shared" si="24"/>
        <v>0</v>
      </c>
      <c r="P130" s="479">
        <f t="shared" si="25"/>
        <v>0</v>
      </c>
    </row>
    <row r="131" spans="2:16" ht="12.5">
      <c r="B131" s="160" t="str">
        <f t="shared" si="28"/>
        <v/>
      </c>
      <c r="C131" s="473">
        <f>IF(D93="","-",+C130+1)</f>
        <v>2040</v>
      </c>
      <c r="D131" s="347">
        <f>IF(F130+SUM(E$99:E130)=D$92,F130,D$92-SUM(E$99:E130))</f>
        <v>4417338</v>
      </c>
      <c r="E131" s="487">
        <f>IF(+J96&lt;F130,J96,D131)</f>
        <v>339899</v>
      </c>
      <c r="F131" s="486">
        <f t="shared" ref="F131:F154" si="39">+D131-E131</f>
        <v>4077439</v>
      </c>
      <c r="G131" s="486">
        <f t="shared" ref="G131:G154" si="40">+(F131+D131)/2</f>
        <v>4247388.5</v>
      </c>
      <c r="H131" s="487">
        <f t="shared" si="38"/>
        <v>829611.2168181655</v>
      </c>
      <c r="I131" s="543">
        <f t="shared" si="37"/>
        <v>829611.2168181655</v>
      </c>
      <c r="J131" s="479">
        <f t="shared" si="22"/>
        <v>0</v>
      </c>
      <c r="K131" s="479"/>
      <c r="L131" s="488"/>
      <c r="M131" s="479">
        <f t="shared" ref="M131:M154" si="41">IF(L131&lt;&gt;0,+H131-L131,0)</f>
        <v>0</v>
      </c>
      <c r="N131" s="488"/>
      <c r="O131" s="479">
        <f t="shared" ref="O131:O154" si="42">IF(N131&lt;&gt;0,+I131-N131,0)</f>
        <v>0</v>
      </c>
      <c r="P131" s="479">
        <f t="shared" ref="P131:P154" si="43">+O131-M131</f>
        <v>0</v>
      </c>
    </row>
    <row r="132" spans="2:16" ht="12.5">
      <c r="B132" s="160" t="str">
        <f t="shared" si="28"/>
        <v/>
      </c>
      <c r="C132" s="473">
        <f>IF(D93="","-",+C131+1)</f>
        <v>2041</v>
      </c>
      <c r="D132" s="347">
        <f>IF(F131+SUM(E$99:E131)=D$92,F131,D$92-SUM(E$99:E131))</f>
        <v>4077439</v>
      </c>
      <c r="E132" s="487">
        <f>IF(+J96&lt;F131,J96,D132)</f>
        <v>339899</v>
      </c>
      <c r="F132" s="486">
        <f t="shared" si="39"/>
        <v>3737540</v>
      </c>
      <c r="G132" s="486">
        <f t="shared" si="40"/>
        <v>3907489.5</v>
      </c>
      <c r="H132" s="487">
        <f t="shared" si="38"/>
        <v>790421.79659341392</v>
      </c>
      <c r="I132" s="543">
        <f t="shared" si="37"/>
        <v>790421.79659341392</v>
      </c>
      <c r="J132" s="479">
        <f t="shared" ref="J132:J154" si="44">+I132-H132</f>
        <v>0</v>
      </c>
      <c r="K132" s="479"/>
      <c r="L132" s="488"/>
      <c r="M132" s="479">
        <f t="shared" si="41"/>
        <v>0</v>
      </c>
      <c r="N132" s="488"/>
      <c r="O132" s="479">
        <f t="shared" si="42"/>
        <v>0</v>
      </c>
      <c r="P132" s="479">
        <f t="shared" si="43"/>
        <v>0</v>
      </c>
    </row>
    <row r="133" spans="2:16" ht="12.5">
      <c r="B133" s="160" t="str">
        <f t="shared" si="28"/>
        <v/>
      </c>
      <c r="C133" s="473">
        <f>IF(D93="","-",+C132+1)</f>
        <v>2042</v>
      </c>
      <c r="D133" s="347">
        <f>IF(F132+SUM(E$99:E132)=D$92,F132,D$92-SUM(E$99:E132))</f>
        <v>3737540</v>
      </c>
      <c r="E133" s="487">
        <f>IF(+J96&lt;F132,J96,D133)</f>
        <v>339899</v>
      </c>
      <c r="F133" s="486">
        <f t="shared" si="39"/>
        <v>3397641</v>
      </c>
      <c r="G133" s="486">
        <f t="shared" si="40"/>
        <v>3567590.5</v>
      </c>
      <c r="H133" s="487">
        <f t="shared" si="38"/>
        <v>751232.37636866223</v>
      </c>
      <c r="I133" s="543">
        <f t="shared" si="37"/>
        <v>751232.37636866223</v>
      </c>
      <c r="J133" s="479">
        <f t="shared" si="44"/>
        <v>0</v>
      </c>
      <c r="K133" s="479"/>
      <c r="L133" s="488"/>
      <c r="M133" s="479">
        <f t="shared" si="41"/>
        <v>0</v>
      </c>
      <c r="N133" s="488"/>
      <c r="O133" s="479">
        <f t="shared" si="42"/>
        <v>0</v>
      </c>
      <c r="P133" s="479">
        <f t="shared" si="43"/>
        <v>0</v>
      </c>
    </row>
    <row r="134" spans="2:16" ht="12.5">
      <c r="B134" s="160" t="str">
        <f t="shared" si="28"/>
        <v/>
      </c>
      <c r="C134" s="473">
        <f>IF(D93="","-",+C133+1)</f>
        <v>2043</v>
      </c>
      <c r="D134" s="347">
        <f>IF(F133+SUM(E$99:E133)=D$92,F133,D$92-SUM(E$99:E133))</f>
        <v>3397641</v>
      </c>
      <c r="E134" s="487">
        <f>IF(+J96&lt;F133,J96,D134)</f>
        <v>339899</v>
      </c>
      <c r="F134" s="486">
        <f t="shared" si="39"/>
        <v>3057742</v>
      </c>
      <c r="G134" s="486">
        <f t="shared" si="40"/>
        <v>3227691.5</v>
      </c>
      <c r="H134" s="487">
        <f t="shared" si="38"/>
        <v>712042.95614391053</v>
      </c>
      <c r="I134" s="543">
        <f t="shared" si="37"/>
        <v>712042.95614391053</v>
      </c>
      <c r="J134" s="479">
        <f t="shared" si="44"/>
        <v>0</v>
      </c>
      <c r="K134" s="479"/>
      <c r="L134" s="488"/>
      <c r="M134" s="479">
        <f t="shared" si="41"/>
        <v>0</v>
      </c>
      <c r="N134" s="488"/>
      <c r="O134" s="479">
        <f t="shared" si="42"/>
        <v>0</v>
      </c>
      <c r="P134" s="479">
        <f t="shared" si="43"/>
        <v>0</v>
      </c>
    </row>
    <row r="135" spans="2:16" ht="12.5">
      <c r="B135" s="160" t="str">
        <f t="shared" si="28"/>
        <v/>
      </c>
      <c r="C135" s="473">
        <f>IF(D93="","-",+C134+1)</f>
        <v>2044</v>
      </c>
      <c r="D135" s="347">
        <f>IF(F134+SUM(E$99:E134)=D$92,F134,D$92-SUM(E$99:E134))</f>
        <v>3057742</v>
      </c>
      <c r="E135" s="487">
        <f>IF(+J96&lt;F134,J96,D135)</f>
        <v>339899</v>
      </c>
      <c r="F135" s="486">
        <f t="shared" si="39"/>
        <v>2717843</v>
      </c>
      <c r="G135" s="486">
        <f t="shared" si="40"/>
        <v>2887792.5</v>
      </c>
      <c r="H135" s="487">
        <f t="shared" si="38"/>
        <v>672853.53591915895</v>
      </c>
      <c r="I135" s="543">
        <f t="shared" si="37"/>
        <v>672853.53591915895</v>
      </c>
      <c r="J135" s="479">
        <f t="shared" si="44"/>
        <v>0</v>
      </c>
      <c r="K135" s="479"/>
      <c r="L135" s="488"/>
      <c r="M135" s="479">
        <f t="shared" si="41"/>
        <v>0</v>
      </c>
      <c r="N135" s="488"/>
      <c r="O135" s="479">
        <f t="shared" si="42"/>
        <v>0</v>
      </c>
      <c r="P135" s="479">
        <f t="shared" si="43"/>
        <v>0</v>
      </c>
    </row>
    <row r="136" spans="2:16" ht="12.5">
      <c r="B136" s="160" t="str">
        <f t="shared" si="28"/>
        <v/>
      </c>
      <c r="C136" s="473">
        <f>IF(D93="","-",+C135+1)</f>
        <v>2045</v>
      </c>
      <c r="D136" s="347">
        <f>IF(F135+SUM(E$99:E135)=D$92,F135,D$92-SUM(E$99:E135))</f>
        <v>2717843</v>
      </c>
      <c r="E136" s="487">
        <f>IF(+J96&lt;F135,J96,D136)</f>
        <v>339899</v>
      </c>
      <c r="F136" s="486">
        <f t="shared" si="39"/>
        <v>2377944</v>
      </c>
      <c r="G136" s="486">
        <f t="shared" si="40"/>
        <v>2547893.5</v>
      </c>
      <c r="H136" s="487">
        <f t="shared" si="38"/>
        <v>633664.11569440714</v>
      </c>
      <c r="I136" s="543">
        <f t="shared" si="37"/>
        <v>633664.11569440714</v>
      </c>
      <c r="J136" s="479">
        <f t="shared" si="44"/>
        <v>0</v>
      </c>
      <c r="K136" s="479"/>
      <c r="L136" s="488"/>
      <c r="M136" s="479">
        <f t="shared" si="41"/>
        <v>0</v>
      </c>
      <c r="N136" s="488"/>
      <c r="O136" s="479">
        <f t="shared" si="42"/>
        <v>0</v>
      </c>
      <c r="P136" s="479">
        <f t="shared" si="43"/>
        <v>0</v>
      </c>
    </row>
    <row r="137" spans="2:16" ht="12.5">
      <c r="B137" s="160" t="str">
        <f t="shared" si="28"/>
        <v/>
      </c>
      <c r="C137" s="473">
        <f>IF(D93="","-",+C136+1)</f>
        <v>2046</v>
      </c>
      <c r="D137" s="347">
        <f>IF(F136+SUM(E$99:E136)=D$92,F136,D$92-SUM(E$99:E136))</f>
        <v>2377944</v>
      </c>
      <c r="E137" s="487">
        <f>IF(+J96&lt;F136,J96,D137)</f>
        <v>339899</v>
      </c>
      <c r="F137" s="486">
        <f t="shared" si="39"/>
        <v>2038045</v>
      </c>
      <c r="G137" s="486">
        <f t="shared" si="40"/>
        <v>2207994.5</v>
      </c>
      <c r="H137" s="487">
        <f t="shared" si="38"/>
        <v>594474.69546965556</v>
      </c>
      <c r="I137" s="543">
        <f t="shared" si="37"/>
        <v>594474.69546965556</v>
      </c>
      <c r="J137" s="479">
        <f t="shared" si="44"/>
        <v>0</v>
      </c>
      <c r="K137" s="479"/>
      <c r="L137" s="488"/>
      <c r="M137" s="479">
        <f t="shared" si="41"/>
        <v>0</v>
      </c>
      <c r="N137" s="488"/>
      <c r="O137" s="479">
        <f t="shared" si="42"/>
        <v>0</v>
      </c>
      <c r="P137" s="479">
        <f t="shared" si="43"/>
        <v>0</v>
      </c>
    </row>
    <row r="138" spans="2:16" ht="12.5">
      <c r="B138" s="160" t="str">
        <f t="shared" si="28"/>
        <v/>
      </c>
      <c r="C138" s="473">
        <f>IF(D93="","-",+C137+1)</f>
        <v>2047</v>
      </c>
      <c r="D138" s="347">
        <f>IF(F137+SUM(E$99:E137)=D$92,F137,D$92-SUM(E$99:E137))</f>
        <v>2038045</v>
      </c>
      <c r="E138" s="487">
        <f>IF(+J96&lt;F137,J96,D138)</f>
        <v>339899</v>
      </c>
      <c r="F138" s="486">
        <f t="shared" si="39"/>
        <v>1698146</v>
      </c>
      <c r="G138" s="486">
        <f t="shared" si="40"/>
        <v>1868095.5</v>
      </c>
      <c r="H138" s="487">
        <f t="shared" si="38"/>
        <v>555285.27524490387</v>
      </c>
      <c r="I138" s="543">
        <f t="shared" si="37"/>
        <v>555285.27524490387</v>
      </c>
      <c r="J138" s="479">
        <f t="shared" si="44"/>
        <v>0</v>
      </c>
      <c r="K138" s="479"/>
      <c r="L138" s="488"/>
      <c r="M138" s="479">
        <f t="shared" si="41"/>
        <v>0</v>
      </c>
      <c r="N138" s="488"/>
      <c r="O138" s="479">
        <f t="shared" si="42"/>
        <v>0</v>
      </c>
      <c r="P138" s="479">
        <f t="shared" si="43"/>
        <v>0</v>
      </c>
    </row>
    <row r="139" spans="2:16" ht="12.5">
      <c r="B139" s="160" t="str">
        <f t="shared" si="28"/>
        <v/>
      </c>
      <c r="C139" s="473">
        <f>IF(D93="","-",+C138+1)</f>
        <v>2048</v>
      </c>
      <c r="D139" s="347">
        <f>IF(F138+SUM(E$99:E138)=D$92,F138,D$92-SUM(E$99:E138))</f>
        <v>1698146</v>
      </c>
      <c r="E139" s="487">
        <f>IF(+J96&lt;F138,J96,D139)</f>
        <v>339899</v>
      </c>
      <c r="F139" s="486">
        <f t="shared" si="39"/>
        <v>1358247</v>
      </c>
      <c r="G139" s="486">
        <f t="shared" si="40"/>
        <v>1528196.5</v>
      </c>
      <c r="H139" s="487">
        <f t="shared" si="38"/>
        <v>516095.85502015217</v>
      </c>
      <c r="I139" s="543">
        <f t="shared" si="37"/>
        <v>516095.85502015217</v>
      </c>
      <c r="J139" s="479">
        <f t="shared" si="44"/>
        <v>0</v>
      </c>
      <c r="K139" s="479"/>
      <c r="L139" s="488"/>
      <c r="M139" s="479">
        <f t="shared" si="41"/>
        <v>0</v>
      </c>
      <c r="N139" s="488"/>
      <c r="O139" s="479">
        <f t="shared" si="42"/>
        <v>0</v>
      </c>
      <c r="P139" s="479">
        <f t="shared" si="43"/>
        <v>0</v>
      </c>
    </row>
    <row r="140" spans="2:16" ht="12.5">
      <c r="B140" s="160" t="str">
        <f t="shared" si="28"/>
        <v/>
      </c>
      <c r="C140" s="473">
        <f>IF(D93="","-",+C139+1)</f>
        <v>2049</v>
      </c>
      <c r="D140" s="347">
        <f>IF(F139+SUM(E$99:E139)=D$92,F139,D$92-SUM(E$99:E139))</f>
        <v>1358247</v>
      </c>
      <c r="E140" s="487">
        <f>IF(+J96&lt;F139,J96,D140)</f>
        <v>339899</v>
      </c>
      <c r="F140" s="486">
        <f t="shared" si="39"/>
        <v>1018348</v>
      </c>
      <c r="G140" s="486">
        <f t="shared" si="40"/>
        <v>1188297.5</v>
      </c>
      <c r="H140" s="487">
        <f t="shared" si="38"/>
        <v>476906.43479540054</v>
      </c>
      <c r="I140" s="543">
        <f t="shared" si="37"/>
        <v>476906.43479540054</v>
      </c>
      <c r="J140" s="479">
        <f t="shared" si="44"/>
        <v>0</v>
      </c>
      <c r="K140" s="479"/>
      <c r="L140" s="488"/>
      <c r="M140" s="479">
        <f t="shared" si="41"/>
        <v>0</v>
      </c>
      <c r="N140" s="488"/>
      <c r="O140" s="479">
        <f t="shared" si="42"/>
        <v>0</v>
      </c>
      <c r="P140" s="479">
        <f t="shared" si="43"/>
        <v>0</v>
      </c>
    </row>
    <row r="141" spans="2:16" ht="12.5">
      <c r="B141" s="160" t="str">
        <f t="shared" si="28"/>
        <v/>
      </c>
      <c r="C141" s="473">
        <f>IF(D93="","-",+C140+1)</f>
        <v>2050</v>
      </c>
      <c r="D141" s="347">
        <f>IF(F140+SUM(E$99:E140)=D$92,F140,D$92-SUM(E$99:E140))</f>
        <v>1018348</v>
      </c>
      <c r="E141" s="487">
        <f>IF(+J96&lt;F140,J96,D141)</f>
        <v>339899</v>
      </c>
      <c r="F141" s="486">
        <f t="shared" si="39"/>
        <v>678449</v>
      </c>
      <c r="G141" s="486">
        <f t="shared" si="40"/>
        <v>848398.5</v>
      </c>
      <c r="H141" s="487">
        <f t="shared" si="38"/>
        <v>437717.0145706489</v>
      </c>
      <c r="I141" s="543">
        <f t="shared" si="37"/>
        <v>437717.0145706489</v>
      </c>
      <c r="J141" s="479">
        <f t="shared" si="44"/>
        <v>0</v>
      </c>
      <c r="K141" s="479"/>
      <c r="L141" s="488"/>
      <c r="M141" s="479">
        <f t="shared" si="41"/>
        <v>0</v>
      </c>
      <c r="N141" s="488"/>
      <c r="O141" s="479">
        <f t="shared" si="42"/>
        <v>0</v>
      </c>
      <c r="P141" s="479">
        <f t="shared" si="43"/>
        <v>0</v>
      </c>
    </row>
    <row r="142" spans="2:16" ht="12.5">
      <c r="B142" s="160" t="str">
        <f t="shared" si="28"/>
        <v/>
      </c>
      <c r="C142" s="473">
        <f>IF(D93="","-",+C141+1)</f>
        <v>2051</v>
      </c>
      <c r="D142" s="347">
        <f>IF(F141+SUM(E$99:E141)=D$92,F141,D$92-SUM(E$99:E141))</f>
        <v>678449</v>
      </c>
      <c r="E142" s="487">
        <f>IF(+J96&lt;F141,J96,D142)</f>
        <v>339899</v>
      </c>
      <c r="F142" s="486">
        <f t="shared" si="39"/>
        <v>338550</v>
      </c>
      <c r="G142" s="486">
        <f t="shared" si="40"/>
        <v>508499.5</v>
      </c>
      <c r="H142" s="487">
        <f t="shared" si="38"/>
        <v>398527.5943458972</v>
      </c>
      <c r="I142" s="543">
        <f t="shared" si="37"/>
        <v>398527.5943458972</v>
      </c>
      <c r="J142" s="479">
        <f t="shared" si="44"/>
        <v>0</v>
      </c>
      <c r="K142" s="479"/>
      <c r="L142" s="488"/>
      <c r="M142" s="479">
        <f t="shared" si="41"/>
        <v>0</v>
      </c>
      <c r="N142" s="488"/>
      <c r="O142" s="479">
        <f t="shared" si="42"/>
        <v>0</v>
      </c>
      <c r="P142" s="479">
        <f t="shared" si="43"/>
        <v>0</v>
      </c>
    </row>
    <row r="143" spans="2:16" ht="12.5">
      <c r="B143" s="160" t="str">
        <f t="shared" si="28"/>
        <v/>
      </c>
      <c r="C143" s="473">
        <f>IF(D93="","-",+C142+1)</f>
        <v>2052</v>
      </c>
      <c r="D143" s="347">
        <f>IF(F142+SUM(E$99:E142)=D$92,F142,D$92-SUM(E$99:E142))</f>
        <v>338550</v>
      </c>
      <c r="E143" s="487">
        <f>IF(+J96&lt;F142,J96,D143)</f>
        <v>338550</v>
      </c>
      <c r="F143" s="486">
        <f t="shared" si="39"/>
        <v>0</v>
      </c>
      <c r="G143" s="486">
        <f t="shared" si="40"/>
        <v>169275</v>
      </c>
      <c r="H143" s="487">
        <f t="shared" si="38"/>
        <v>358066.94211676071</v>
      </c>
      <c r="I143" s="543">
        <f t="shared" si="37"/>
        <v>358066.94211676071</v>
      </c>
      <c r="J143" s="479">
        <f t="shared" si="44"/>
        <v>0</v>
      </c>
      <c r="K143" s="479"/>
      <c r="L143" s="488"/>
      <c r="M143" s="479">
        <f t="shared" si="41"/>
        <v>0</v>
      </c>
      <c r="N143" s="488"/>
      <c r="O143" s="479">
        <f t="shared" si="42"/>
        <v>0</v>
      </c>
      <c r="P143" s="479">
        <f t="shared" si="43"/>
        <v>0</v>
      </c>
    </row>
    <row r="144" spans="2:16" ht="12.5">
      <c r="B144" s="160" t="str">
        <f t="shared" si="28"/>
        <v/>
      </c>
      <c r="C144" s="473">
        <f>IF(D93="","-",+C143+1)</f>
        <v>2053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39"/>
        <v>0</v>
      </c>
      <c r="G144" s="486">
        <f t="shared" si="40"/>
        <v>0</v>
      </c>
      <c r="H144" s="487">
        <f t="shared" si="38"/>
        <v>0</v>
      </c>
      <c r="I144" s="543">
        <f t="shared" si="37"/>
        <v>0</v>
      </c>
      <c r="J144" s="479">
        <f t="shared" si="44"/>
        <v>0</v>
      </c>
      <c r="K144" s="479"/>
      <c r="L144" s="488"/>
      <c r="M144" s="479">
        <f t="shared" si="41"/>
        <v>0</v>
      </c>
      <c r="N144" s="488"/>
      <c r="O144" s="479">
        <f t="shared" si="42"/>
        <v>0</v>
      </c>
      <c r="P144" s="479">
        <f t="shared" si="43"/>
        <v>0</v>
      </c>
    </row>
    <row r="145" spans="2:16" ht="12.5">
      <c r="B145" s="160" t="str">
        <f t="shared" si="28"/>
        <v/>
      </c>
      <c r="C145" s="473">
        <f>IF(D93="","-",+C144+1)</f>
        <v>2054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39"/>
        <v>0</v>
      </c>
      <c r="G145" s="486">
        <f t="shared" si="40"/>
        <v>0</v>
      </c>
      <c r="H145" s="487">
        <f t="shared" si="38"/>
        <v>0</v>
      </c>
      <c r="I145" s="543">
        <f t="shared" si="37"/>
        <v>0</v>
      </c>
      <c r="J145" s="479">
        <f t="shared" si="44"/>
        <v>0</v>
      </c>
      <c r="K145" s="479"/>
      <c r="L145" s="488"/>
      <c r="M145" s="479">
        <f t="shared" si="41"/>
        <v>0</v>
      </c>
      <c r="N145" s="488"/>
      <c r="O145" s="479">
        <f t="shared" si="42"/>
        <v>0</v>
      </c>
      <c r="P145" s="479">
        <f t="shared" si="43"/>
        <v>0</v>
      </c>
    </row>
    <row r="146" spans="2:16" ht="12.5">
      <c r="B146" s="160" t="str">
        <f t="shared" si="28"/>
        <v/>
      </c>
      <c r="C146" s="473">
        <f>IF(D93="","-",+C145+1)</f>
        <v>2055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39"/>
        <v>0</v>
      </c>
      <c r="G146" s="486">
        <f t="shared" si="40"/>
        <v>0</v>
      </c>
      <c r="H146" s="487">
        <f t="shared" si="38"/>
        <v>0</v>
      </c>
      <c r="I146" s="543">
        <f t="shared" si="37"/>
        <v>0</v>
      </c>
      <c r="J146" s="479">
        <f t="shared" si="44"/>
        <v>0</v>
      </c>
      <c r="K146" s="479"/>
      <c r="L146" s="488"/>
      <c r="M146" s="479">
        <f t="shared" si="41"/>
        <v>0</v>
      </c>
      <c r="N146" s="488"/>
      <c r="O146" s="479">
        <f t="shared" si="42"/>
        <v>0</v>
      </c>
      <c r="P146" s="479">
        <f t="shared" si="43"/>
        <v>0</v>
      </c>
    </row>
    <row r="147" spans="2:16" ht="12.5">
      <c r="B147" s="160" t="str">
        <f t="shared" si="28"/>
        <v/>
      </c>
      <c r="C147" s="473">
        <f>IF(D93="","-",+C146+1)</f>
        <v>2056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39"/>
        <v>0</v>
      </c>
      <c r="G147" s="486">
        <f t="shared" si="40"/>
        <v>0</v>
      </c>
      <c r="H147" s="487">
        <f t="shared" si="38"/>
        <v>0</v>
      </c>
      <c r="I147" s="543">
        <f t="shared" si="37"/>
        <v>0</v>
      </c>
      <c r="J147" s="479">
        <f t="shared" si="44"/>
        <v>0</v>
      </c>
      <c r="K147" s="479"/>
      <c r="L147" s="488"/>
      <c r="M147" s="479">
        <f t="shared" si="41"/>
        <v>0</v>
      </c>
      <c r="N147" s="488"/>
      <c r="O147" s="479">
        <f t="shared" si="42"/>
        <v>0</v>
      </c>
      <c r="P147" s="479">
        <f t="shared" si="43"/>
        <v>0</v>
      </c>
    </row>
    <row r="148" spans="2:16" ht="12.5">
      <c r="B148" s="160" t="str">
        <f t="shared" si="28"/>
        <v/>
      </c>
      <c r="C148" s="473">
        <f>IF(D93="","-",+C147+1)</f>
        <v>2057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39"/>
        <v>0</v>
      </c>
      <c r="G148" s="486">
        <f t="shared" si="40"/>
        <v>0</v>
      </c>
      <c r="H148" s="487">
        <f t="shared" si="38"/>
        <v>0</v>
      </c>
      <c r="I148" s="543">
        <f t="shared" si="37"/>
        <v>0</v>
      </c>
      <c r="J148" s="479">
        <f t="shared" si="44"/>
        <v>0</v>
      </c>
      <c r="K148" s="479"/>
      <c r="L148" s="488"/>
      <c r="M148" s="479">
        <f t="shared" si="41"/>
        <v>0</v>
      </c>
      <c r="N148" s="488"/>
      <c r="O148" s="479">
        <f t="shared" si="42"/>
        <v>0</v>
      </c>
      <c r="P148" s="479">
        <f t="shared" si="43"/>
        <v>0</v>
      </c>
    </row>
    <row r="149" spans="2:16" ht="12.5">
      <c r="B149" s="160" t="str">
        <f t="shared" si="28"/>
        <v/>
      </c>
      <c r="C149" s="473">
        <f>IF(D93="","-",+C148+1)</f>
        <v>2058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39"/>
        <v>0</v>
      </c>
      <c r="G149" s="486">
        <f t="shared" si="40"/>
        <v>0</v>
      </c>
      <c r="H149" s="487">
        <f t="shared" si="38"/>
        <v>0</v>
      </c>
      <c r="I149" s="543">
        <f t="shared" si="37"/>
        <v>0</v>
      </c>
      <c r="J149" s="479">
        <f t="shared" si="44"/>
        <v>0</v>
      </c>
      <c r="K149" s="479"/>
      <c r="L149" s="488"/>
      <c r="M149" s="479">
        <f t="shared" si="41"/>
        <v>0</v>
      </c>
      <c r="N149" s="488"/>
      <c r="O149" s="479">
        <f t="shared" si="42"/>
        <v>0</v>
      </c>
      <c r="P149" s="479">
        <f t="shared" si="43"/>
        <v>0</v>
      </c>
    </row>
    <row r="150" spans="2:16" ht="12.5">
      <c r="B150" s="160" t="str">
        <f t="shared" si="28"/>
        <v/>
      </c>
      <c r="C150" s="473">
        <f>IF(D93="","-",+C149+1)</f>
        <v>2059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39"/>
        <v>0</v>
      </c>
      <c r="G150" s="486">
        <f t="shared" si="40"/>
        <v>0</v>
      </c>
      <c r="H150" s="487">
        <f t="shared" si="38"/>
        <v>0</v>
      </c>
      <c r="I150" s="543">
        <f t="shared" si="37"/>
        <v>0</v>
      </c>
      <c r="J150" s="479">
        <f t="shared" si="44"/>
        <v>0</v>
      </c>
      <c r="K150" s="479"/>
      <c r="L150" s="488"/>
      <c r="M150" s="479">
        <f t="shared" si="41"/>
        <v>0</v>
      </c>
      <c r="N150" s="488"/>
      <c r="O150" s="479">
        <f t="shared" si="42"/>
        <v>0</v>
      </c>
      <c r="P150" s="479">
        <f t="shared" si="43"/>
        <v>0</v>
      </c>
    </row>
    <row r="151" spans="2:16" ht="12.5">
      <c r="B151" s="160" t="str">
        <f t="shared" si="28"/>
        <v/>
      </c>
      <c r="C151" s="473">
        <f>IF(D93="","-",+C150+1)</f>
        <v>2060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39"/>
        <v>0</v>
      </c>
      <c r="G151" s="486">
        <f t="shared" si="40"/>
        <v>0</v>
      </c>
      <c r="H151" s="487">
        <f t="shared" si="38"/>
        <v>0</v>
      </c>
      <c r="I151" s="543">
        <f t="shared" si="37"/>
        <v>0</v>
      </c>
      <c r="J151" s="479">
        <f t="shared" si="44"/>
        <v>0</v>
      </c>
      <c r="K151" s="479"/>
      <c r="L151" s="488"/>
      <c r="M151" s="479">
        <f t="shared" si="41"/>
        <v>0</v>
      </c>
      <c r="N151" s="488"/>
      <c r="O151" s="479">
        <f t="shared" si="42"/>
        <v>0</v>
      </c>
      <c r="P151" s="479">
        <f t="shared" si="43"/>
        <v>0</v>
      </c>
    </row>
    <row r="152" spans="2:16" ht="12.5">
      <c r="B152" s="160" t="str">
        <f t="shared" si="28"/>
        <v/>
      </c>
      <c r="C152" s="473">
        <f>IF(D93="","-",+C151+1)</f>
        <v>2061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39"/>
        <v>0</v>
      </c>
      <c r="G152" s="486">
        <f t="shared" si="40"/>
        <v>0</v>
      </c>
      <c r="H152" s="487">
        <f t="shared" si="38"/>
        <v>0</v>
      </c>
      <c r="I152" s="543">
        <f t="shared" si="37"/>
        <v>0</v>
      </c>
      <c r="J152" s="479">
        <f t="shared" si="44"/>
        <v>0</v>
      </c>
      <c r="K152" s="479"/>
      <c r="L152" s="488"/>
      <c r="M152" s="479">
        <f t="shared" si="41"/>
        <v>0</v>
      </c>
      <c r="N152" s="488"/>
      <c r="O152" s="479">
        <f t="shared" si="42"/>
        <v>0</v>
      </c>
      <c r="P152" s="479">
        <f t="shared" si="43"/>
        <v>0</v>
      </c>
    </row>
    <row r="153" spans="2:16" ht="12.5">
      <c r="B153" s="160" t="str">
        <f t="shared" si="28"/>
        <v/>
      </c>
      <c r="C153" s="473">
        <f>IF(D93="","-",+C152+1)</f>
        <v>2062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39"/>
        <v>0</v>
      </c>
      <c r="G153" s="486">
        <f t="shared" si="40"/>
        <v>0</v>
      </c>
      <c r="H153" s="487">
        <f t="shared" si="38"/>
        <v>0</v>
      </c>
      <c r="I153" s="543">
        <f t="shared" si="37"/>
        <v>0</v>
      </c>
      <c r="J153" s="479">
        <f t="shared" si="44"/>
        <v>0</v>
      </c>
      <c r="K153" s="479"/>
      <c r="L153" s="488"/>
      <c r="M153" s="479">
        <f t="shared" si="41"/>
        <v>0</v>
      </c>
      <c r="N153" s="488"/>
      <c r="O153" s="479">
        <f t="shared" si="42"/>
        <v>0</v>
      </c>
      <c r="P153" s="479">
        <f t="shared" si="43"/>
        <v>0</v>
      </c>
    </row>
    <row r="154" spans="2:16" ht="13" thickBot="1">
      <c r="B154" s="160" t="str">
        <f t="shared" si="28"/>
        <v/>
      </c>
      <c r="C154" s="490">
        <f>IF(D93="","-",+C153+1)</f>
        <v>2063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39"/>
        <v>0</v>
      </c>
      <c r="G154" s="491">
        <f t="shared" si="40"/>
        <v>0</v>
      </c>
      <c r="H154" s="491">
        <f t="shared" si="38"/>
        <v>0</v>
      </c>
      <c r="I154" s="546">
        <f t="shared" ref="I154" si="45">ROUND(J$95*G154,0)+E154</f>
        <v>0</v>
      </c>
      <c r="J154" s="496">
        <f t="shared" si="44"/>
        <v>0</v>
      </c>
      <c r="K154" s="479"/>
      <c r="L154" s="495"/>
      <c r="M154" s="496">
        <f t="shared" si="41"/>
        <v>0</v>
      </c>
      <c r="N154" s="495"/>
      <c r="O154" s="496">
        <f t="shared" si="42"/>
        <v>0</v>
      </c>
      <c r="P154" s="496">
        <f t="shared" si="43"/>
        <v>0</v>
      </c>
    </row>
    <row r="155" spans="2:16" ht="12.5">
      <c r="C155" s="347" t="s">
        <v>77</v>
      </c>
      <c r="D155" s="348"/>
      <c r="E155" s="348">
        <f>SUM(E99:E154)</f>
        <v>14615636</v>
      </c>
      <c r="F155" s="348"/>
      <c r="G155" s="348"/>
      <c r="H155" s="348">
        <f>SUM(H99:H154)</f>
        <v>56321676.392662294</v>
      </c>
      <c r="I155" s="348">
        <f>SUM(I99:I154)</f>
        <v>56321676.392662294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 t="s">
        <v>100</v>
      </c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2.5"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97" t="s">
        <v>107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78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 t="s">
        <v>79</v>
      </c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  <row r="1048576" spans="11:13" ht="12.75" customHeight="1">
      <c r="K1048576" s="477">
        <f>G1048576</f>
        <v>0</v>
      </c>
      <c r="L1048576" s="551">
        <f t="shared" ref="L1048576" si="46">IF(K1048576&lt;&gt;0,+G1048576-K1048576,0)</f>
        <v>0</v>
      </c>
      <c r="M1048576" s="477">
        <f>H1048576</f>
        <v>0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162"/>
  <sheetViews>
    <sheetView view="pageBreakPreview" topLeftCell="B103" zoomScale="75" zoomScaleNormal="100" workbookViewId="0">
      <selection activeCell="H113" sqref="H113:I113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5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39392.204131039958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39392.204131039958</v>
      </c>
      <c r="O6" s="233"/>
      <c r="P6" s="233"/>
    </row>
    <row r="7" spans="1:16" ht="13.5" thickBot="1">
      <c r="C7" s="432" t="s">
        <v>46</v>
      </c>
      <c r="D7" s="433" t="s">
        <v>206</v>
      </c>
      <c r="E7" s="330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83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f>387742</f>
        <v>387742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2006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5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9017.2558139534885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2006</v>
      </c>
      <c r="D17" s="474">
        <v>387742</v>
      </c>
      <c r="E17" s="475">
        <v>3877</v>
      </c>
      <c r="F17" s="474">
        <v>383865</v>
      </c>
      <c r="G17" s="475">
        <v>0</v>
      </c>
      <c r="H17" s="482">
        <v>0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/>
      <c r="C18" s="473">
        <f>IF(D11="","-",+C17+1)</f>
        <v>2007</v>
      </c>
      <c r="D18" s="480">
        <v>383865</v>
      </c>
      <c r="E18" s="481">
        <v>7755</v>
      </c>
      <c r="F18" s="480">
        <v>376110</v>
      </c>
      <c r="G18" s="480">
        <v>59847</v>
      </c>
      <c r="H18" s="480">
        <v>59847</v>
      </c>
      <c r="I18" s="476">
        <f t="shared" si="0"/>
        <v>0</v>
      </c>
      <c r="J18" s="476"/>
      <c r="K18" s="477">
        <v>59847</v>
      </c>
      <c r="L18" s="479">
        <f t="shared" si="1"/>
        <v>0</v>
      </c>
      <c r="M18" s="477">
        <v>59847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/>
      <c r="C19" s="473">
        <f>IF(D11="","-",+C18+1)</f>
        <v>2008</v>
      </c>
      <c r="D19" s="480">
        <v>376557</v>
      </c>
      <c r="E19" s="562">
        <v>7457</v>
      </c>
      <c r="F19" s="480">
        <v>369100</v>
      </c>
      <c r="G19" s="480">
        <v>62208</v>
      </c>
      <c r="H19" s="480">
        <v>62208</v>
      </c>
      <c r="I19" s="476">
        <f t="shared" si="0"/>
        <v>0</v>
      </c>
      <c r="J19" s="476"/>
      <c r="K19" s="477">
        <v>62208</v>
      </c>
      <c r="L19" s="479">
        <f t="shared" si="1"/>
        <v>0</v>
      </c>
      <c r="M19" s="477">
        <v>62208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/>
      <c r="C20" s="473">
        <f>IF(D11="","-",+C19+1)</f>
        <v>2009</v>
      </c>
      <c r="D20" s="480">
        <v>368843</v>
      </c>
      <c r="E20" s="562">
        <v>7316</v>
      </c>
      <c r="F20" s="480">
        <v>361527</v>
      </c>
      <c r="G20" s="480">
        <v>62704</v>
      </c>
      <c r="H20" s="480">
        <v>62704</v>
      </c>
      <c r="I20" s="476">
        <f t="shared" si="0"/>
        <v>0</v>
      </c>
      <c r="J20" s="476"/>
      <c r="K20" s="477">
        <v>62704</v>
      </c>
      <c r="L20" s="479">
        <f t="shared" si="1"/>
        <v>0</v>
      </c>
      <c r="M20" s="477">
        <v>62704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/>
      <c r="C21" s="473">
        <f>IF(D12="","-",+C20+1)</f>
        <v>2010</v>
      </c>
      <c r="D21" s="480">
        <v>361337</v>
      </c>
      <c r="E21" s="481">
        <v>6923.9642857142853</v>
      </c>
      <c r="F21" s="480">
        <v>354413.03571428574</v>
      </c>
      <c r="G21" s="481">
        <v>58064.529944767884</v>
      </c>
      <c r="H21" s="482">
        <v>58064.529944767884</v>
      </c>
      <c r="I21" s="476">
        <f t="shared" si="0"/>
        <v>0</v>
      </c>
      <c r="J21" s="476"/>
      <c r="K21" s="541">
        <f t="shared" ref="K21:K26" si="4">G21</f>
        <v>58064.529944767884</v>
      </c>
      <c r="L21" s="479">
        <f t="shared" si="1"/>
        <v>0</v>
      </c>
      <c r="M21" s="541">
        <f t="shared" ref="M21:M26" si="5">H21</f>
        <v>58064.529944767884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ref="B22:B72" si="6">IF(D22=F21,"","IU")</f>
        <v/>
      </c>
      <c r="C22" s="473">
        <f>IF(D11="","-",+C21+1)</f>
        <v>2011</v>
      </c>
      <c r="D22" s="480">
        <v>354413.03571428574</v>
      </c>
      <c r="E22" s="481">
        <v>7602.7843137254904</v>
      </c>
      <c r="F22" s="480">
        <v>346810.25140056026</v>
      </c>
      <c r="G22" s="481">
        <v>61893.620096156621</v>
      </c>
      <c r="H22" s="482">
        <v>61893.620096156621</v>
      </c>
      <c r="I22" s="476">
        <f t="shared" si="0"/>
        <v>0</v>
      </c>
      <c r="J22" s="476"/>
      <c r="K22" s="477">
        <f t="shared" si="4"/>
        <v>61893.620096156621</v>
      </c>
      <c r="L22" s="551">
        <f t="shared" si="1"/>
        <v>0</v>
      </c>
      <c r="M22" s="477">
        <f t="shared" si="5"/>
        <v>61893.620096156621</v>
      </c>
      <c r="N22" s="479">
        <f t="shared" si="2"/>
        <v>0</v>
      </c>
      <c r="O22" s="479">
        <f t="shared" si="3"/>
        <v>0</v>
      </c>
      <c r="P22" s="243"/>
    </row>
    <row r="23" spans="2:16" ht="12.5">
      <c r="B23" s="160" t="str">
        <f t="shared" si="6"/>
        <v/>
      </c>
      <c r="C23" s="473">
        <f>IF(D11="","-",+C22+1)</f>
        <v>2012</v>
      </c>
      <c r="D23" s="480">
        <v>346810.25140056026</v>
      </c>
      <c r="E23" s="481">
        <v>7456.5769230769229</v>
      </c>
      <c r="F23" s="480">
        <v>339353.67447748332</v>
      </c>
      <c r="G23" s="481">
        <v>54696.893588724874</v>
      </c>
      <c r="H23" s="482">
        <v>54696.893588724874</v>
      </c>
      <c r="I23" s="476">
        <f t="shared" si="0"/>
        <v>0</v>
      </c>
      <c r="J23" s="476"/>
      <c r="K23" s="477">
        <f t="shared" si="4"/>
        <v>54696.893588724874</v>
      </c>
      <c r="L23" s="551">
        <f t="shared" si="1"/>
        <v>0</v>
      </c>
      <c r="M23" s="477">
        <f t="shared" si="5"/>
        <v>54696.893588724874</v>
      </c>
      <c r="N23" s="479">
        <f t="shared" si="2"/>
        <v>0</v>
      </c>
      <c r="O23" s="479">
        <f t="shared" si="3"/>
        <v>0</v>
      </c>
      <c r="P23" s="243"/>
    </row>
    <row r="24" spans="2:16" ht="12.5">
      <c r="B24" s="160" t="str">
        <f t="shared" si="6"/>
        <v/>
      </c>
      <c r="C24" s="473">
        <f>IF(D11="","-",+C23+1)</f>
        <v>2013</v>
      </c>
      <c r="D24" s="480">
        <v>339353.67447748332</v>
      </c>
      <c r="E24" s="481">
        <v>7456.5769230769229</v>
      </c>
      <c r="F24" s="480">
        <v>331897.09755440638</v>
      </c>
      <c r="G24" s="481">
        <v>54853.72619811543</v>
      </c>
      <c r="H24" s="482">
        <v>54853.72619811543</v>
      </c>
      <c r="I24" s="476">
        <v>0</v>
      </c>
      <c r="J24" s="476"/>
      <c r="K24" s="477">
        <f t="shared" si="4"/>
        <v>54853.72619811543</v>
      </c>
      <c r="L24" s="551">
        <f t="shared" ref="L24:L29" si="7">IF(K24&lt;&gt;0,+G24-K24,0)</f>
        <v>0</v>
      </c>
      <c r="M24" s="477">
        <f t="shared" si="5"/>
        <v>54853.72619811543</v>
      </c>
      <c r="N24" s="479">
        <f t="shared" ref="N24:N29" si="8">IF(M24&lt;&gt;0,+H24-M24,0)</f>
        <v>0</v>
      </c>
      <c r="O24" s="479">
        <f t="shared" ref="O24:O29" si="9">+N24-L24</f>
        <v>0</v>
      </c>
      <c r="P24" s="243"/>
    </row>
    <row r="25" spans="2:16" ht="12.5">
      <c r="B25" s="160" t="str">
        <f t="shared" si="6"/>
        <v/>
      </c>
      <c r="C25" s="473">
        <f>IF(D11="","-",+C24+1)</f>
        <v>2014</v>
      </c>
      <c r="D25" s="480">
        <v>331897.09755440638</v>
      </c>
      <c r="E25" s="481">
        <v>7456.5769230769229</v>
      </c>
      <c r="F25" s="480">
        <v>324440.52063132945</v>
      </c>
      <c r="G25" s="481">
        <v>52118.659182147123</v>
      </c>
      <c r="H25" s="482">
        <v>52118.659182147123</v>
      </c>
      <c r="I25" s="476">
        <v>0</v>
      </c>
      <c r="J25" s="476"/>
      <c r="K25" s="477">
        <f t="shared" si="4"/>
        <v>52118.659182147123</v>
      </c>
      <c r="L25" s="551">
        <f t="shared" si="7"/>
        <v>0</v>
      </c>
      <c r="M25" s="477">
        <f t="shared" si="5"/>
        <v>52118.659182147123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2015</v>
      </c>
      <c r="D26" s="480">
        <v>324440.52063132945</v>
      </c>
      <c r="E26" s="481">
        <v>7456.5769230769229</v>
      </c>
      <c r="F26" s="480">
        <v>316983.94370825251</v>
      </c>
      <c r="G26" s="481">
        <v>51159.678410482353</v>
      </c>
      <c r="H26" s="482">
        <v>51159.678410482353</v>
      </c>
      <c r="I26" s="476">
        <v>0</v>
      </c>
      <c r="J26" s="476"/>
      <c r="K26" s="477">
        <f t="shared" si="4"/>
        <v>51159.678410482353</v>
      </c>
      <c r="L26" s="551">
        <f t="shared" si="7"/>
        <v>0</v>
      </c>
      <c r="M26" s="477">
        <f t="shared" si="5"/>
        <v>51159.678410482353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2016</v>
      </c>
      <c r="D27" s="480">
        <v>316983.94370825251</v>
      </c>
      <c r="E27" s="481">
        <v>7456.5769230769229</v>
      </c>
      <c r="F27" s="480">
        <v>309527.36678517557</v>
      </c>
      <c r="G27" s="481">
        <v>48054.073071867475</v>
      </c>
      <c r="H27" s="482">
        <v>48054.073071867475</v>
      </c>
      <c r="I27" s="476">
        <f t="shared" si="0"/>
        <v>0</v>
      </c>
      <c r="J27" s="476"/>
      <c r="K27" s="477">
        <f>G27</f>
        <v>48054.073071867475</v>
      </c>
      <c r="L27" s="551">
        <f t="shared" si="7"/>
        <v>0</v>
      </c>
      <c r="M27" s="477">
        <f>H27</f>
        <v>48054.073071867475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6"/>
        <v/>
      </c>
      <c r="C28" s="473">
        <f>IF(D11="","-",+C27+1)</f>
        <v>2017</v>
      </c>
      <c r="D28" s="480">
        <v>309527.36678517557</v>
      </c>
      <c r="E28" s="481">
        <v>8429.173913043478</v>
      </c>
      <c r="F28" s="480">
        <v>301098.19287213212</v>
      </c>
      <c r="G28" s="481">
        <v>46747.12706959022</v>
      </c>
      <c r="H28" s="482">
        <v>46747.12706959022</v>
      </c>
      <c r="I28" s="476">
        <f t="shared" si="0"/>
        <v>0</v>
      </c>
      <c r="J28" s="476"/>
      <c r="K28" s="477">
        <f>G28</f>
        <v>46747.12706959022</v>
      </c>
      <c r="L28" s="551">
        <f t="shared" si="7"/>
        <v>0</v>
      </c>
      <c r="M28" s="477">
        <f>H28</f>
        <v>46747.12706959022</v>
      </c>
      <c r="N28" s="479">
        <f t="shared" si="8"/>
        <v>0</v>
      </c>
      <c r="O28" s="479">
        <f t="shared" si="9"/>
        <v>0</v>
      </c>
      <c r="P28" s="243"/>
    </row>
    <row r="29" spans="2:16" ht="12.5">
      <c r="B29" s="160" t="str">
        <f t="shared" si="6"/>
        <v/>
      </c>
      <c r="C29" s="473">
        <f>IF(D11="","-",+C28+1)</f>
        <v>2018</v>
      </c>
      <c r="D29" s="480">
        <v>301098.19287213212</v>
      </c>
      <c r="E29" s="481">
        <v>8616.4888888888891</v>
      </c>
      <c r="F29" s="480">
        <v>292481.70398324321</v>
      </c>
      <c r="G29" s="481">
        <v>48199.620253747162</v>
      </c>
      <c r="H29" s="482">
        <v>48199.620253747162</v>
      </c>
      <c r="I29" s="476">
        <f t="shared" si="0"/>
        <v>0</v>
      </c>
      <c r="J29" s="476"/>
      <c r="K29" s="477">
        <f>G29</f>
        <v>48199.620253747162</v>
      </c>
      <c r="L29" s="551">
        <f t="shared" si="7"/>
        <v>0</v>
      </c>
      <c r="M29" s="477">
        <f>H29</f>
        <v>48199.620253747162</v>
      </c>
      <c r="N29" s="479">
        <f t="shared" si="8"/>
        <v>0</v>
      </c>
      <c r="O29" s="479">
        <f t="shared" si="9"/>
        <v>0</v>
      </c>
      <c r="P29" s="243"/>
    </row>
    <row r="30" spans="2:16" ht="12.5">
      <c r="B30" s="160" t="str">
        <f t="shared" si="6"/>
        <v/>
      </c>
      <c r="C30" s="473">
        <f>IF(D11="","-",+C29+1)</f>
        <v>2019</v>
      </c>
      <c r="D30" s="480">
        <v>292481.70398324321</v>
      </c>
      <c r="E30" s="481">
        <v>8616.4888888888891</v>
      </c>
      <c r="F30" s="480">
        <v>283865.21509435429</v>
      </c>
      <c r="G30" s="481">
        <v>47033.504196066257</v>
      </c>
      <c r="H30" s="482">
        <v>47033.504196066257</v>
      </c>
      <c r="I30" s="476">
        <f t="shared" si="0"/>
        <v>0</v>
      </c>
      <c r="J30" s="476"/>
      <c r="K30" s="477">
        <f>G30</f>
        <v>47033.504196066257</v>
      </c>
      <c r="L30" s="551">
        <f t="shared" ref="L30" si="10">IF(K30&lt;&gt;0,+G30-K30,0)</f>
        <v>0</v>
      </c>
      <c r="M30" s="477">
        <f>H30</f>
        <v>47033.504196066257</v>
      </c>
      <c r="N30" s="479">
        <f t="shared" ref="N30" si="11">IF(M30&lt;&gt;0,+H30-M30,0)</f>
        <v>0</v>
      </c>
      <c r="O30" s="479">
        <f t="shared" ref="O30" si="12">+N30-L30</f>
        <v>0</v>
      </c>
      <c r="P30" s="243"/>
    </row>
    <row r="31" spans="2:16" ht="12.5">
      <c r="B31" s="160" t="str">
        <f t="shared" si="6"/>
        <v/>
      </c>
      <c r="C31" s="473">
        <f>IF(D11="","-",+C30+1)</f>
        <v>2020</v>
      </c>
      <c r="D31" s="480">
        <v>283865.21509435429</v>
      </c>
      <c r="E31" s="481">
        <v>9231.9523809523816</v>
      </c>
      <c r="F31" s="480">
        <v>274633.26271340193</v>
      </c>
      <c r="G31" s="481">
        <v>39392.204131039958</v>
      </c>
      <c r="H31" s="482">
        <v>39392.204131039958</v>
      </c>
      <c r="I31" s="476">
        <f t="shared" si="0"/>
        <v>0</v>
      </c>
      <c r="J31" s="476"/>
      <c r="K31" s="477">
        <f>G31</f>
        <v>39392.204131039958</v>
      </c>
      <c r="L31" s="551">
        <f t="shared" ref="L31" si="13">IF(K31&lt;&gt;0,+G31-K31,0)</f>
        <v>0</v>
      </c>
      <c r="M31" s="477">
        <f>H31</f>
        <v>39392.204131039958</v>
      </c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2021</v>
      </c>
      <c r="D32" s="486">
        <f>IF(F31+SUM(E$17:E31)=D$10,F31,D$10-SUM(E$17:E31))</f>
        <v>274633.26271340193</v>
      </c>
      <c r="E32" s="485">
        <f>IF(+I14&lt;F31,I14,D32)</f>
        <v>9017.2558139534885</v>
      </c>
      <c r="F32" s="486">
        <f t="shared" ref="F32:F72" si="14">+D32-E32</f>
        <v>265616.00689944846</v>
      </c>
      <c r="G32" s="487">
        <f t="shared" ref="G32:G72" si="15">(D32+F32)/2*I$12+E32</f>
        <v>40096.806357367299</v>
      </c>
      <c r="H32" s="456">
        <f t="shared" ref="H32:H72" si="16">+(D32+F32)/2*I$13+E32</f>
        <v>40096.806357367299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2022</v>
      </c>
      <c r="D33" s="486">
        <f>IF(F32+SUM(E$17:E32)=D$10,F32,D$10-SUM(E$17:E32))</f>
        <v>265616.00689944846</v>
      </c>
      <c r="E33" s="485">
        <f>IF(+I14&lt;F32,I14,D33)</f>
        <v>9017.2558139534885</v>
      </c>
      <c r="F33" s="486">
        <f t="shared" si="14"/>
        <v>256598.75108549497</v>
      </c>
      <c r="G33" s="487">
        <f t="shared" si="15"/>
        <v>39059.313949340569</v>
      </c>
      <c r="H33" s="456">
        <f t="shared" si="16"/>
        <v>39059.313949340569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2023</v>
      </c>
      <c r="D34" s="486">
        <f>IF(F33+SUM(E$17:E33)=D$10,F33,D$10-SUM(E$17:E33))</f>
        <v>256598.75108549497</v>
      </c>
      <c r="E34" s="485">
        <f>IF(+I14&lt;F33,I14,D34)</f>
        <v>9017.2558139534885</v>
      </c>
      <c r="F34" s="486">
        <f t="shared" si="14"/>
        <v>247581.49527154147</v>
      </c>
      <c r="G34" s="487">
        <f t="shared" si="15"/>
        <v>38021.821541313831</v>
      </c>
      <c r="H34" s="456">
        <f t="shared" si="16"/>
        <v>38021.821541313831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2024</v>
      </c>
      <c r="D35" s="486">
        <f>IF(F34+SUM(E$17:E34)=D$10,F34,D$10-SUM(E$17:E34))</f>
        <v>247581.49527154147</v>
      </c>
      <c r="E35" s="485">
        <f>IF(+I14&lt;F34,I14,D35)</f>
        <v>9017.2558139534885</v>
      </c>
      <c r="F35" s="486">
        <f t="shared" si="14"/>
        <v>238564.23945758797</v>
      </c>
      <c r="G35" s="487">
        <f t="shared" si="15"/>
        <v>36984.329133287101</v>
      </c>
      <c r="H35" s="456">
        <f t="shared" si="16"/>
        <v>36984.329133287101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2025</v>
      </c>
      <c r="D36" s="486">
        <f>IF(F35+SUM(E$17:E35)=D$10,F35,D$10-SUM(E$17:E35))</f>
        <v>238564.23945758797</v>
      </c>
      <c r="E36" s="485">
        <f>IF(+I14&lt;F35,I14,D36)</f>
        <v>9017.2558139534885</v>
      </c>
      <c r="F36" s="486">
        <f t="shared" si="14"/>
        <v>229546.98364363448</v>
      </c>
      <c r="G36" s="487">
        <f t="shared" si="15"/>
        <v>35946.836725260364</v>
      </c>
      <c r="H36" s="456">
        <f t="shared" si="16"/>
        <v>35946.836725260364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2026</v>
      </c>
      <c r="D37" s="486">
        <f>IF(F36+SUM(E$17:E36)=D$10,F36,D$10-SUM(E$17:E36))</f>
        <v>229546.98364363448</v>
      </c>
      <c r="E37" s="485">
        <f>IF(+I14&lt;F36,I14,D37)</f>
        <v>9017.2558139534885</v>
      </c>
      <c r="F37" s="486">
        <f t="shared" si="14"/>
        <v>220529.72782968098</v>
      </c>
      <c r="G37" s="487">
        <f t="shared" si="15"/>
        <v>34909.344317233641</v>
      </c>
      <c r="H37" s="456">
        <f t="shared" si="16"/>
        <v>34909.344317233641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2027</v>
      </c>
      <c r="D38" s="486">
        <f>IF(F37+SUM(E$17:E37)=D$10,F37,D$10-SUM(E$17:E37))</f>
        <v>220529.72782968098</v>
      </c>
      <c r="E38" s="485">
        <f>IF(+I14&lt;F37,I14,D38)</f>
        <v>9017.2558139534885</v>
      </c>
      <c r="F38" s="486">
        <f t="shared" si="14"/>
        <v>211512.47201572749</v>
      </c>
      <c r="G38" s="487">
        <f t="shared" si="15"/>
        <v>33871.851909206904</v>
      </c>
      <c r="H38" s="456">
        <f t="shared" si="16"/>
        <v>33871.851909206904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2028</v>
      </c>
      <c r="D39" s="486">
        <f>IF(F38+SUM(E$17:E38)=D$10,F38,D$10-SUM(E$17:E38))</f>
        <v>211512.47201572749</v>
      </c>
      <c r="E39" s="485">
        <f>IF(+I14&lt;F38,I14,D39)</f>
        <v>9017.2558139534885</v>
      </c>
      <c r="F39" s="486">
        <f t="shared" si="14"/>
        <v>202495.21620177399</v>
      </c>
      <c r="G39" s="487">
        <f t="shared" si="15"/>
        <v>32834.359501180181</v>
      </c>
      <c r="H39" s="456">
        <f t="shared" si="16"/>
        <v>32834.359501180181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2029</v>
      </c>
      <c r="D40" s="486">
        <f>IF(F39+SUM(E$17:E39)=D$10,F39,D$10-SUM(E$17:E39))</f>
        <v>202495.21620177399</v>
      </c>
      <c r="E40" s="485">
        <f>IF(+I14&lt;F39,I14,D40)</f>
        <v>9017.2558139534885</v>
      </c>
      <c r="F40" s="486">
        <f t="shared" si="14"/>
        <v>193477.96038782049</v>
      </c>
      <c r="G40" s="487">
        <f t="shared" si="15"/>
        <v>31796.86709315344</v>
      </c>
      <c r="H40" s="456">
        <f t="shared" si="16"/>
        <v>31796.86709315344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2030</v>
      </c>
      <c r="D41" s="486">
        <f>IF(F40+SUM(E$17:E40)=D$10,F40,D$10-SUM(E$17:E40))</f>
        <v>193477.96038782049</v>
      </c>
      <c r="E41" s="485">
        <f>IF(+I14&lt;F40,I14,D41)</f>
        <v>9017.2558139534885</v>
      </c>
      <c r="F41" s="486">
        <f t="shared" si="14"/>
        <v>184460.704573867</v>
      </c>
      <c r="G41" s="487">
        <f t="shared" si="15"/>
        <v>30759.37468512671</v>
      </c>
      <c r="H41" s="456">
        <f t="shared" si="16"/>
        <v>30759.37468512671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2031</v>
      </c>
      <c r="D42" s="486">
        <f>IF(F41+SUM(E$17:E41)=D$10,F41,D$10-SUM(E$17:E41))</f>
        <v>184460.704573867</v>
      </c>
      <c r="E42" s="485">
        <f>IF(+I14&lt;F41,I14,D42)</f>
        <v>9017.2558139534885</v>
      </c>
      <c r="F42" s="486">
        <f t="shared" si="14"/>
        <v>175443.4487599135</v>
      </c>
      <c r="G42" s="487">
        <f t="shared" si="15"/>
        <v>29721.882277099976</v>
      </c>
      <c r="H42" s="456">
        <f t="shared" si="16"/>
        <v>29721.882277099976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2032</v>
      </c>
      <c r="D43" s="486">
        <f>IF(F42+SUM(E$17:E42)=D$10,F42,D$10-SUM(E$17:E42))</f>
        <v>175443.4487599135</v>
      </c>
      <c r="E43" s="485">
        <f>IF(+I14&lt;F42,I14,D43)</f>
        <v>9017.2558139534885</v>
      </c>
      <c r="F43" s="486">
        <f t="shared" si="14"/>
        <v>166426.19294596001</v>
      </c>
      <c r="G43" s="487">
        <f t="shared" si="15"/>
        <v>28684.389869073246</v>
      </c>
      <c r="H43" s="456">
        <f t="shared" si="16"/>
        <v>28684.389869073246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2033</v>
      </c>
      <c r="D44" s="486">
        <f>IF(F43+SUM(E$17:E43)=D$10,F43,D$10-SUM(E$17:E43))</f>
        <v>166426.19294596001</v>
      </c>
      <c r="E44" s="485">
        <f>IF(+I14&lt;F43,I14,D44)</f>
        <v>9017.2558139534885</v>
      </c>
      <c r="F44" s="486">
        <f t="shared" si="14"/>
        <v>157408.93713200651</v>
      </c>
      <c r="G44" s="487">
        <f t="shared" si="15"/>
        <v>27646.897461046512</v>
      </c>
      <c r="H44" s="456">
        <f t="shared" si="16"/>
        <v>27646.897461046512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2034</v>
      </c>
      <c r="D45" s="486">
        <f>IF(F44+SUM(E$17:E44)=D$10,F44,D$10-SUM(E$17:E44))</f>
        <v>157408.93713200651</v>
      </c>
      <c r="E45" s="485">
        <f>IF(+I14&lt;F44,I14,D45)</f>
        <v>9017.2558139534885</v>
      </c>
      <c r="F45" s="486">
        <f t="shared" si="14"/>
        <v>148391.68131805302</v>
      </c>
      <c r="G45" s="487">
        <f t="shared" si="15"/>
        <v>26609.405053019782</v>
      </c>
      <c r="H45" s="456">
        <f t="shared" si="16"/>
        <v>26609.405053019782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2035</v>
      </c>
      <c r="D46" s="486">
        <f>IF(F45+SUM(E$17:E45)=D$10,F45,D$10-SUM(E$17:E45))</f>
        <v>148391.68131805302</v>
      </c>
      <c r="E46" s="485">
        <f>IF(+I14&lt;F45,I14,D46)</f>
        <v>9017.2558139534885</v>
      </c>
      <c r="F46" s="486">
        <f t="shared" si="14"/>
        <v>139374.42550409952</v>
      </c>
      <c r="G46" s="487">
        <f t="shared" si="15"/>
        <v>25571.912644993048</v>
      </c>
      <c r="H46" s="456">
        <f t="shared" si="16"/>
        <v>25571.912644993048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2036</v>
      </c>
      <c r="D47" s="486">
        <f>IF(F46+SUM(E$17:E46)=D$10,F46,D$10-SUM(E$17:E46))</f>
        <v>139374.42550409952</v>
      </c>
      <c r="E47" s="485">
        <f>IF(+I14&lt;F46,I14,D47)</f>
        <v>9017.2558139534885</v>
      </c>
      <c r="F47" s="486">
        <f t="shared" si="14"/>
        <v>130357.16969014602</v>
      </c>
      <c r="G47" s="487">
        <f t="shared" si="15"/>
        <v>24534.420236966318</v>
      </c>
      <c r="H47" s="456">
        <f t="shared" si="16"/>
        <v>24534.420236966318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2037</v>
      </c>
      <c r="D48" s="486">
        <f>IF(F47+SUM(E$17:E47)=D$10,F47,D$10-SUM(E$17:E47))</f>
        <v>130357.16969014602</v>
      </c>
      <c r="E48" s="485">
        <f>IF(+I14&lt;F47,I14,D48)</f>
        <v>9017.2558139534885</v>
      </c>
      <c r="F48" s="486">
        <f t="shared" si="14"/>
        <v>121339.91387619253</v>
      </c>
      <c r="G48" s="487">
        <f t="shared" si="15"/>
        <v>23496.927828939584</v>
      </c>
      <c r="H48" s="456">
        <f t="shared" si="16"/>
        <v>23496.927828939584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2038</v>
      </c>
      <c r="D49" s="486">
        <f>IF(F48+SUM(E$17:E48)=D$10,F48,D$10-SUM(E$17:E48))</f>
        <v>121339.91387619253</v>
      </c>
      <c r="E49" s="485">
        <f>IF(+I14&lt;F48,I14,D49)</f>
        <v>9017.2558139534885</v>
      </c>
      <c r="F49" s="486">
        <f t="shared" si="14"/>
        <v>112322.65806223903</v>
      </c>
      <c r="G49" s="487">
        <f t="shared" si="15"/>
        <v>22459.435420912851</v>
      </c>
      <c r="H49" s="456">
        <f t="shared" si="16"/>
        <v>22459.435420912851</v>
      </c>
      <c r="I49" s="476">
        <f t="shared" ref="I49:I72" si="17">H49-G49</f>
        <v>0</v>
      </c>
      <c r="J49" s="476"/>
      <c r="K49" s="488"/>
      <c r="L49" s="479">
        <f t="shared" ref="L49:L72" si="18">IF(K49&lt;&gt;0,+G49-K49,0)</f>
        <v>0</v>
      </c>
      <c r="M49" s="488"/>
      <c r="N49" s="479">
        <f t="shared" ref="N49:N72" si="19">IF(M49&lt;&gt;0,+H49-M49,0)</f>
        <v>0</v>
      </c>
      <c r="O49" s="479">
        <f t="shared" ref="O49:O72" si="20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2039</v>
      </c>
      <c r="D50" s="486">
        <f>IF(F49+SUM(E$17:E49)=D$10,F49,D$10-SUM(E$17:E49))</f>
        <v>112322.65806223903</v>
      </c>
      <c r="E50" s="485">
        <f>IF(+I14&lt;F49,I14,D50)</f>
        <v>9017.2558139534885</v>
      </c>
      <c r="F50" s="486">
        <f t="shared" si="14"/>
        <v>103305.40224828554</v>
      </c>
      <c r="G50" s="487">
        <f t="shared" si="15"/>
        <v>21421.94301288612</v>
      </c>
      <c r="H50" s="456">
        <f t="shared" si="16"/>
        <v>21421.94301288612</v>
      </c>
      <c r="I50" s="476">
        <f t="shared" si="17"/>
        <v>0</v>
      </c>
      <c r="J50" s="476"/>
      <c r="K50" s="488"/>
      <c r="L50" s="479">
        <f t="shared" si="18"/>
        <v>0</v>
      </c>
      <c r="M50" s="488"/>
      <c r="N50" s="479">
        <f t="shared" si="19"/>
        <v>0</v>
      </c>
      <c r="O50" s="479">
        <f t="shared" si="20"/>
        <v>0</v>
      </c>
      <c r="P50" s="243"/>
    </row>
    <row r="51" spans="2:16" ht="12.5">
      <c r="B51" s="160" t="str">
        <f t="shared" si="6"/>
        <v/>
      </c>
      <c r="C51" s="473">
        <f>IF(D11="","-",+C50+1)</f>
        <v>2040</v>
      </c>
      <c r="D51" s="486">
        <f>IF(F50+SUM(E$17:E50)=D$10,F50,D$10-SUM(E$17:E50))</f>
        <v>103305.40224828554</v>
      </c>
      <c r="E51" s="485">
        <f>IF(+I14&lt;F50,I14,D51)</f>
        <v>9017.2558139534885</v>
      </c>
      <c r="F51" s="486">
        <f t="shared" si="14"/>
        <v>94288.14643433204</v>
      </c>
      <c r="G51" s="487">
        <f t="shared" si="15"/>
        <v>20384.45060485939</v>
      </c>
      <c r="H51" s="456">
        <f t="shared" si="16"/>
        <v>20384.45060485939</v>
      </c>
      <c r="I51" s="476">
        <f t="shared" si="17"/>
        <v>0</v>
      </c>
      <c r="J51" s="476"/>
      <c r="K51" s="488"/>
      <c r="L51" s="479">
        <f t="shared" si="18"/>
        <v>0</v>
      </c>
      <c r="M51" s="488"/>
      <c r="N51" s="479">
        <f t="shared" si="19"/>
        <v>0</v>
      </c>
      <c r="O51" s="479">
        <f t="shared" si="20"/>
        <v>0</v>
      </c>
      <c r="P51" s="243"/>
    </row>
    <row r="52" spans="2:16" ht="12.5">
      <c r="B52" s="160" t="str">
        <f t="shared" si="6"/>
        <v/>
      </c>
      <c r="C52" s="473">
        <f>IF(D11="","-",+C51+1)</f>
        <v>2041</v>
      </c>
      <c r="D52" s="486">
        <f>IF(F51+SUM(E$17:E51)=D$10,F51,D$10-SUM(E$17:E51))</f>
        <v>94288.14643433204</v>
      </c>
      <c r="E52" s="485">
        <f>IF(+I14&lt;F51,I14,D52)</f>
        <v>9017.2558139534885</v>
      </c>
      <c r="F52" s="486">
        <f t="shared" si="14"/>
        <v>85270.890620378545</v>
      </c>
      <c r="G52" s="487">
        <f t="shared" si="15"/>
        <v>19346.958196832657</v>
      </c>
      <c r="H52" s="456">
        <f t="shared" si="16"/>
        <v>19346.958196832657</v>
      </c>
      <c r="I52" s="476">
        <f t="shared" si="17"/>
        <v>0</v>
      </c>
      <c r="J52" s="476"/>
      <c r="K52" s="488"/>
      <c r="L52" s="479">
        <f t="shared" si="18"/>
        <v>0</v>
      </c>
      <c r="M52" s="488"/>
      <c r="N52" s="479">
        <f t="shared" si="19"/>
        <v>0</v>
      </c>
      <c r="O52" s="479">
        <f t="shared" si="20"/>
        <v>0</v>
      </c>
      <c r="P52" s="243"/>
    </row>
    <row r="53" spans="2:16" ht="12.5">
      <c r="B53" s="160" t="str">
        <f t="shared" si="6"/>
        <v/>
      </c>
      <c r="C53" s="473">
        <f>IF(D11="","-",+C52+1)</f>
        <v>2042</v>
      </c>
      <c r="D53" s="486">
        <f>IF(F52+SUM(E$17:E52)=D$10,F52,D$10-SUM(E$17:E52))</f>
        <v>85270.890620378545</v>
      </c>
      <c r="E53" s="485">
        <f>IF(+I14&lt;F52,I14,D53)</f>
        <v>9017.2558139534885</v>
      </c>
      <c r="F53" s="486">
        <f t="shared" si="14"/>
        <v>76253.634806425049</v>
      </c>
      <c r="G53" s="487">
        <f t="shared" si="15"/>
        <v>18309.465788805923</v>
      </c>
      <c r="H53" s="456">
        <f t="shared" si="16"/>
        <v>18309.465788805923</v>
      </c>
      <c r="I53" s="476">
        <f t="shared" si="17"/>
        <v>0</v>
      </c>
      <c r="J53" s="476"/>
      <c r="K53" s="488"/>
      <c r="L53" s="479">
        <f t="shared" si="18"/>
        <v>0</v>
      </c>
      <c r="M53" s="488"/>
      <c r="N53" s="479">
        <f t="shared" si="19"/>
        <v>0</v>
      </c>
      <c r="O53" s="479">
        <f t="shared" si="20"/>
        <v>0</v>
      </c>
      <c r="P53" s="243"/>
    </row>
    <row r="54" spans="2:16" ht="12.5">
      <c r="B54" s="160" t="str">
        <f t="shared" si="6"/>
        <v/>
      </c>
      <c r="C54" s="473">
        <f>IF(D11="","-",+C53+1)</f>
        <v>2043</v>
      </c>
      <c r="D54" s="486">
        <f>IF(F53+SUM(E$17:E53)=D$10,F53,D$10-SUM(E$17:E53))</f>
        <v>76253.634806425049</v>
      </c>
      <c r="E54" s="485">
        <f>IF(+I14&lt;F53,I14,D54)</f>
        <v>9017.2558139534885</v>
      </c>
      <c r="F54" s="486">
        <f t="shared" si="14"/>
        <v>67236.378992471553</v>
      </c>
      <c r="G54" s="487">
        <f t="shared" si="15"/>
        <v>17271.973380779193</v>
      </c>
      <c r="H54" s="456">
        <f t="shared" si="16"/>
        <v>17271.973380779193</v>
      </c>
      <c r="I54" s="476">
        <f t="shared" si="17"/>
        <v>0</v>
      </c>
      <c r="J54" s="476"/>
      <c r="K54" s="488"/>
      <c r="L54" s="479">
        <f t="shared" si="18"/>
        <v>0</v>
      </c>
      <c r="M54" s="488"/>
      <c r="N54" s="479">
        <f t="shared" si="19"/>
        <v>0</v>
      </c>
      <c r="O54" s="479">
        <f t="shared" si="20"/>
        <v>0</v>
      </c>
      <c r="P54" s="243"/>
    </row>
    <row r="55" spans="2:16" ht="12.5">
      <c r="B55" s="160" t="str">
        <f t="shared" si="6"/>
        <v/>
      </c>
      <c r="C55" s="473">
        <f>IF(D11="","-",+C54+1)</f>
        <v>2044</v>
      </c>
      <c r="D55" s="486">
        <f>IF(F54+SUM(E$17:E54)=D$10,F54,D$10-SUM(E$17:E54))</f>
        <v>67236.378992471553</v>
      </c>
      <c r="E55" s="485">
        <f>IF(+I14&lt;F54,I14,D55)</f>
        <v>9017.2558139534885</v>
      </c>
      <c r="F55" s="486">
        <f t="shared" si="14"/>
        <v>58219.123178518064</v>
      </c>
      <c r="G55" s="487">
        <f t="shared" si="15"/>
        <v>16234.480972752459</v>
      </c>
      <c r="H55" s="456">
        <f t="shared" si="16"/>
        <v>16234.480972752459</v>
      </c>
      <c r="I55" s="476">
        <f t="shared" si="17"/>
        <v>0</v>
      </c>
      <c r="J55" s="476"/>
      <c r="K55" s="488"/>
      <c r="L55" s="479">
        <f t="shared" si="18"/>
        <v>0</v>
      </c>
      <c r="M55" s="488"/>
      <c r="N55" s="479">
        <f t="shared" si="19"/>
        <v>0</v>
      </c>
      <c r="O55" s="479">
        <f t="shared" si="20"/>
        <v>0</v>
      </c>
      <c r="P55" s="243"/>
    </row>
    <row r="56" spans="2:16" ht="12.5">
      <c r="B56" s="160" t="str">
        <f t="shared" si="6"/>
        <v/>
      </c>
      <c r="C56" s="473">
        <f>IF(D11="","-",+C55+1)</f>
        <v>2045</v>
      </c>
      <c r="D56" s="486">
        <f>IF(F55+SUM(E$17:E55)=D$10,F55,D$10-SUM(E$17:E55))</f>
        <v>58219.123178518064</v>
      </c>
      <c r="E56" s="485">
        <f>IF(+I14&lt;F55,I14,D56)</f>
        <v>9017.2558139534885</v>
      </c>
      <c r="F56" s="486">
        <f t="shared" si="14"/>
        <v>49201.867364564576</v>
      </c>
      <c r="G56" s="487">
        <f t="shared" si="15"/>
        <v>15196.988564725729</v>
      </c>
      <c r="H56" s="456">
        <f t="shared" si="16"/>
        <v>15196.988564725729</v>
      </c>
      <c r="I56" s="476">
        <f t="shared" si="17"/>
        <v>0</v>
      </c>
      <c r="J56" s="476"/>
      <c r="K56" s="488"/>
      <c r="L56" s="479">
        <f t="shared" si="18"/>
        <v>0</v>
      </c>
      <c r="M56" s="488"/>
      <c r="N56" s="479">
        <f t="shared" si="19"/>
        <v>0</v>
      </c>
      <c r="O56" s="479">
        <f t="shared" si="20"/>
        <v>0</v>
      </c>
      <c r="P56" s="243"/>
    </row>
    <row r="57" spans="2:16" ht="12.5">
      <c r="B57" s="160" t="str">
        <f t="shared" si="6"/>
        <v/>
      </c>
      <c r="C57" s="473">
        <f>IF(D11="","-",+C56+1)</f>
        <v>2046</v>
      </c>
      <c r="D57" s="486">
        <f>IF(F56+SUM(E$17:E56)=D$10,F56,D$10-SUM(E$17:E56))</f>
        <v>49201.867364564576</v>
      </c>
      <c r="E57" s="485">
        <f>IF(+I14&lt;F56,I14,D57)</f>
        <v>9017.2558139534885</v>
      </c>
      <c r="F57" s="486">
        <f t="shared" si="14"/>
        <v>40184.611550611087</v>
      </c>
      <c r="G57" s="487">
        <f t="shared" si="15"/>
        <v>14159.496156698997</v>
      </c>
      <c r="H57" s="456">
        <f t="shared" si="16"/>
        <v>14159.496156698997</v>
      </c>
      <c r="I57" s="476">
        <f t="shared" si="17"/>
        <v>0</v>
      </c>
      <c r="J57" s="476"/>
      <c r="K57" s="488"/>
      <c r="L57" s="479">
        <f t="shared" si="18"/>
        <v>0</v>
      </c>
      <c r="M57" s="488"/>
      <c r="N57" s="479">
        <f t="shared" si="19"/>
        <v>0</v>
      </c>
      <c r="O57" s="479">
        <f t="shared" si="20"/>
        <v>0</v>
      </c>
      <c r="P57" s="243"/>
    </row>
    <row r="58" spans="2:16" ht="12.5">
      <c r="B58" s="160" t="str">
        <f t="shared" si="6"/>
        <v/>
      </c>
      <c r="C58" s="473">
        <f>IF(D11="","-",+C57+1)</f>
        <v>2047</v>
      </c>
      <c r="D58" s="486">
        <f>IF(F57+SUM(E$17:E57)=D$10,F57,D$10-SUM(E$17:E57))</f>
        <v>40184.611550611087</v>
      </c>
      <c r="E58" s="485">
        <f>IF(+I14&lt;F57,I14,D58)</f>
        <v>9017.2558139534885</v>
      </c>
      <c r="F58" s="486">
        <f t="shared" si="14"/>
        <v>31167.355736657599</v>
      </c>
      <c r="G58" s="487">
        <f t="shared" si="15"/>
        <v>13122.003748672267</v>
      </c>
      <c r="H58" s="456">
        <f t="shared" si="16"/>
        <v>13122.003748672267</v>
      </c>
      <c r="I58" s="476">
        <f t="shared" si="17"/>
        <v>0</v>
      </c>
      <c r="J58" s="476"/>
      <c r="K58" s="488"/>
      <c r="L58" s="479">
        <f t="shared" si="18"/>
        <v>0</v>
      </c>
      <c r="M58" s="488"/>
      <c r="N58" s="479">
        <f t="shared" si="19"/>
        <v>0</v>
      </c>
      <c r="O58" s="479">
        <f t="shared" si="20"/>
        <v>0</v>
      </c>
      <c r="P58" s="243"/>
    </row>
    <row r="59" spans="2:16" ht="12.5">
      <c r="B59" s="160" t="str">
        <f t="shared" si="6"/>
        <v/>
      </c>
      <c r="C59" s="473">
        <f>IF(D11="","-",+C58+1)</f>
        <v>2048</v>
      </c>
      <c r="D59" s="486">
        <f>IF(F58+SUM(E$17:E58)=D$10,F58,D$10-SUM(E$17:E58))</f>
        <v>31167.355736657599</v>
      </c>
      <c r="E59" s="485">
        <f>IF(+I14&lt;F58,I14,D59)</f>
        <v>9017.2558139534885</v>
      </c>
      <c r="F59" s="486">
        <f t="shared" si="14"/>
        <v>22150.09992270411</v>
      </c>
      <c r="G59" s="487">
        <f t="shared" si="15"/>
        <v>12084.511340645535</v>
      </c>
      <c r="H59" s="456">
        <f t="shared" si="16"/>
        <v>12084.511340645535</v>
      </c>
      <c r="I59" s="476">
        <f t="shared" si="17"/>
        <v>0</v>
      </c>
      <c r="J59" s="476"/>
      <c r="K59" s="488"/>
      <c r="L59" s="479">
        <f t="shared" si="18"/>
        <v>0</v>
      </c>
      <c r="M59" s="488"/>
      <c r="N59" s="479">
        <f t="shared" si="19"/>
        <v>0</v>
      </c>
      <c r="O59" s="479">
        <f t="shared" si="20"/>
        <v>0</v>
      </c>
      <c r="P59" s="243"/>
    </row>
    <row r="60" spans="2:16" ht="12.5">
      <c r="B60" s="160" t="str">
        <f t="shared" si="6"/>
        <v/>
      </c>
      <c r="C60" s="473">
        <f>IF(D11="","-",+C59+1)</f>
        <v>2049</v>
      </c>
      <c r="D60" s="486">
        <f>IF(F59+SUM(E$17:E59)=D$10,F59,D$10-SUM(E$17:E59))</f>
        <v>22150.09992270411</v>
      </c>
      <c r="E60" s="485">
        <f>IF(+I14&lt;F59,I14,D60)</f>
        <v>9017.2558139534885</v>
      </c>
      <c r="F60" s="486">
        <f t="shared" si="14"/>
        <v>13132.844108750622</v>
      </c>
      <c r="G60" s="487">
        <f t="shared" si="15"/>
        <v>11047.018932618805</v>
      </c>
      <c r="H60" s="456">
        <f t="shared" si="16"/>
        <v>11047.018932618805</v>
      </c>
      <c r="I60" s="476">
        <f t="shared" si="17"/>
        <v>0</v>
      </c>
      <c r="J60" s="476"/>
      <c r="K60" s="488"/>
      <c r="L60" s="479">
        <f t="shared" si="18"/>
        <v>0</v>
      </c>
      <c r="M60" s="488"/>
      <c r="N60" s="479">
        <f t="shared" si="19"/>
        <v>0</v>
      </c>
      <c r="O60" s="479">
        <f t="shared" si="20"/>
        <v>0</v>
      </c>
      <c r="P60" s="243"/>
    </row>
    <row r="61" spans="2:16" ht="12.5">
      <c r="B61" s="160" t="str">
        <f t="shared" si="6"/>
        <v/>
      </c>
      <c r="C61" s="473">
        <f>IF(D11="","-",+C60+1)</f>
        <v>2050</v>
      </c>
      <c r="D61" s="486">
        <f>IF(F60+SUM(E$17:E60)=D$10,F60,D$10-SUM(E$17:E60))</f>
        <v>13132.844108750622</v>
      </c>
      <c r="E61" s="485">
        <f>IF(+I14&lt;F60,I14,D61)</f>
        <v>9017.2558139534885</v>
      </c>
      <c r="F61" s="486">
        <f t="shared" si="14"/>
        <v>4115.5882947971331</v>
      </c>
      <c r="G61" s="487">
        <f t="shared" si="15"/>
        <v>10009.526524592073</v>
      </c>
      <c r="H61" s="456">
        <f t="shared" si="16"/>
        <v>10009.526524592073</v>
      </c>
      <c r="I61" s="476">
        <f t="shared" si="17"/>
        <v>0</v>
      </c>
      <c r="J61" s="476"/>
      <c r="K61" s="488"/>
      <c r="L61" s="479">
        <f t="shared" si="18"/>
        <v>0</v>
      </c>
      <c r="M61" s="488"/>
      <c r="N61" s="479">
        <f t="shared" si="19"/>
        <v>0</v>
      </c>
      <c r="O61" s="479">
        <f t="shared" si="20"/>
        <v>0</v>
      </c>
      <c r="P61" s="243"/>
    </row>
    <row r="62" spans="2:16" ht="12.5">
      <c r="B62" s="160" t="str">
        <f t="shared" si="6"/>
        <v/>
      </c>
      <c r="C62" s="473">
        <f>IF(D11="","-",+C61+1)</f>
        <v>2051</v>
      </c>
      <c r="D62" s="486">
        <f>IF(F61+SUM(E$17:E61)=D$10,F61,D$10-SUM(E$17:E61))</f>
        <v>4115.5882947971331</v>
      </c>
      <c r="E62" s="485">
        <f>IF(+I14&lt;F61,I14,D62)</f>
        <v>4115.5882947971331</v>
      </c>
      <c r="F62" s="486">
        <f t="shared" si="14"/>
        <v>0</v>
      </c>
      <c r="G62" s="487">
        <f t="shared" si="15"/>
        <v>4352.3505481097418</v>
      </c>
      <c r="H62" s="456">
        <f t="shared" si="16"/>
        <v>4352.3505481097418</v>
      </c>
      <c r="I62" s="476">
        <f t="shared" si="17"/>
        <v>0</v>
      </c>
      <c r="J62" s="476"/>
      <c r="K62" s="488"/>
      <c r="L62" s="479">
        <f t="shared" si="18"/>
        <v>0</v>
      </c>
      <c r="M62" s="488"/>
      <c r="N62" s="479">
        <f t="shared" si="19"/>
        <v>0</v>
      </c>
      <c r="O62" s="479">
        <f t="shared" si="20"/>
        <v>0</v>
      </c>
      <c r="P62" s="243"/>
    </row>
    <row r="63" spans="2:16" ht="12.5">
      <c r="B63" s="160" t="str">
        <f t="shared" si="6"/>
        <v/>
      </c>
      <c r="C63" s="473">
        <f>IF(D11="","-",+C62+1)</f>
        <v>2052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4"/>
        <v>0</v>
      </c>
      <c r="G63" s="487">
        <f t="shared" si="15"/>
        <v>0</v>
      </c>
      <c r="H63" s="456">
        <f t="shared" si="16"/>
        <v>0</v>
      </c>
      <c r="I63" s="476">
        <f t="shared" si="17"/>
        <v>0</v>
      </c>
      <c r="J63" s="476"/>
      <c r="K63" s="488"/>
      <c r="L63" s="479">
        <f t="shared" si="18"/>
        <v>0</v>
      </c>
      <c r="M63" s="488"/>
      <c r="N63" s="479">
        <f t="shared" si="19"/>
        <v>0</v>
      </c>
      <c r="O63" s="479">
        <f t="shared" si="20"/>
        <v>0</v>
      </c>
      <c r="P63" s="243"/>
    </row>
    <row r="64" spans="2:16" ht="12.5">
      <c r="B64" s="160" t="str">
        <f t="shared" si="6"/>
        <v/>
      </c>
      <c r="C64" s="473">
        <f>IF(D11="","-",+C63+1)</f>
        <v>2053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4"/>
        <v>0</v>
      </c>
      <c r="G64" s="487">
        <f t="shared" si="15"/>
        <v>0</v>
      </c>
      <c r="H64" s="456">
        <f t="shared" si="16"/>
        <v>0</v>
      </c>
      <c r="I64" s="476">
        <f t="shared" si="17"/>
        <v>0</v>
      </c>
      <c r="J64" s="476"/>
      <c r="K64" s="488"/>
      <c r="L64" s="479">
        <f t="shared" si="18"/>
        <v>0</v>
      </c>
      <c r="M64" s="488"/>
      <c r="N64" s="479">
        <f t="shared" si="19"/>
        <v>0</v>
      </c>
      <c r="O64" s="479">
        <f t="shared" si="20"/>
        <v>0</v>
      </c>
      <c r="P64" s="243"/>
    </row>
    <row r="65" spans="2:16" ht="12.5">
      <c r="B65" s="160" t="str">
        <f t="shared" si="6"/>
        <v/>
      </c>
      <c r="C65" s="473">
        <f>IF(D11="","-",+C64+1)</f>
        <v>2054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4"/>
        <v>0</v>
      </c>
      <c r="G65" s="487">
        <f t="shared" si="15"/>
        <v>0</v>
      </c>
      <c r="H65" s="456">
        <f t="shared" si="16"/>
        <v>0</v>
      </c>
      <c r="I65" s="476">
        <f t="shared" si="17"/>
        <v>0</v>
      </c>
      <c r="J65" s="476"/>
      <c r="K65" s="488"/>
      <c r="L65" s="479">
        <f t="shared" si="18"/>
        <v>0</v>
      </c>
      <c r="M65" s="488"/>
      <c r="N65" s="479">
        <f t="shared" si="19"/>
        <v>0</v>
      </c>
      <c r="O65" s="479">
        <f t="shared" si="20"/>
        <v>0</v>
      </c>
      <c r="P65" s="243"/>
    </row>
    <row r="66" spans="2:16" ht="12.5">
      <c r="B66" s="160" t="str">
        <f t="shared" si="6"/>
        <v/>
      </c>
      <c r="C66" s="473">
        <f>IF(D11="","-",+C65+1)</f>
        <v>2055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4"/>
        <v>0</v>
      </c>
      <c r="G66" s="487">
        <f t="shared" si="15"/>
        <v>0</v>
      </c>
      <c r="H66" s="456">
        <f t="shared" si="16"/>
        <v>0</v>
      </c>
      <c r="I66" s="476">
        <f t="shared" si="17"/>
        <v>0</v>
      </c>
      <c r="J66" s="476"/>
      <c r="K66" s="488"/>
      <c r="L66" s="479">
        <f t="shared" si="18"/>
        <v>0</v>
      </c>
      <c r="M66" s="488"/>
      <c r="N66" s="479">
        <f t="shared" si="19"/>
        <v>0</v>
      </c>
      <c r="O66" s="479">
        <f t="shared" si="20"/>
        <v>0</v>
      </c>
      <c r="P66" s="243"/>
    </row>
    <row r="67" spans="2:16" ht="12.5">
      <c r="B67" s="160" t="str">
        <f t="shared" si="6"/>
        <v/>
      </c>
      <c r="C67" s="473">
        <f>IF(D11="","-",+C66+1)</f>
        <v>2056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4"/>
        <v>0</v>
      </c>
      <c r="G67" s="487">
        <f t="shared" si="15"/>
        <v>0</v>
      </c>
      <c r="H67" s="456">
        <f t="shared" si="16"/>
        <v>0</v>
      </c>
      <c r="I67" s="476">
        <f t="shared" si="17"/>
        <v>0</v>
      </c>
      <c r="J67" s="476"/>
      <c r="K67" s="488"/>
      <c r="L67" s="479">
        <f t="shared" si="18"/>
        <v>0</v>
      </c>
      <c r="M67" s="488"/>
      <c r="N67" s="479">
        <f t="shared" si="19"/>
        <v>0</v>
      </c>
      <c r="O67" s="479">
        <f t="shared" si="20"/>
        <v>0</v>
      </c>
      <c r="P67" s="243"/>
    </row>
    <row r="68" spans="2:16" ht="12.5">
      <c r="B68" s="160" t="str">
        <f t="shared" si="6"/>
        <v/>
      </c>
      <c r="C68" s="473">
        <f>IF(D11="","-",+C67+1)</f>
        <v>2057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4"/>
        <v>0</v>
      </c>
      <c r="G68" s="487">
        <f t="shared" si="15"/>
        <v>0</v>
      </c>
      <c r="H68" s="456">
        <f t="shared" si="16"/>
        <v>0</v>
      </c>
      <c r="I68" s="476">
        <f t="shared" si="17"/>
        <v>0</v>
      </c>
      <c r="J68" s="476"/>
      <c r="K68" s="488"/>
      <c r="L68" s="479">
        <f t="shared" si="18"/>
        <v>0</v>
      </c>
      <c r="M68" s="488"/>
      <c r="N68" s="479">
        <f t="shared" si="19"/>
        <v>0</v>
      </c>
      <c r="O68" s="479">
        <f t="shared" si="20"/>
        <v>0</v>
      </c>
      <c r="P68" s="243"/>
    </row>
    <row r="69" spans="2:16" ht="12.5">
      <c r="B69" s="160" t="str">
        <f t="shared" si="6"/>
        <v/>
      </c>
      <c r="C69" s="473">
        <f>IF(D11="","-",+C68+1)</f>
        <v>2058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4"/>
        <v>0</v>
      </c>
      <c r="G69" s="487">
        <f t="shared" si="15"/>
        <v>0</v>
      </c>
      <c r="H69" s="456">
        <f t="shared" si="16"/>
        <v>0</v>
      </c>
      <c r="I69" s="476">
        <f t="shared" si="17"/>
        <v>0</v>
      </c>
      <c r="J69" s="476"/>
      <c r="K69" s="488"/>
      <c r="L69" s="479">
        <f t="shared" si="18"/>
        <v>0</v>
      </c>
      <c r="M69" s="488"/>
      <c r="N69" s="479">
        <f t="shared" si="19"/>
        <v>0</v>
      </c>
      <c r="O69" s="479">
        <f t="shared" si="20"/>
        <v>0</v>
      </c>
      <c r="P69" s="243"/>
    </row>
    <row r="70" spans="2:16" ht="12.5">
      <c r="B70" s="160" t="str">
        <f t="shared" si="6"/>
        <v/>
      </c>
      <c r="C70" s="473">
        <f>IF(D11="","-",+C69+1)</f>
        <v>2059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4"/>
        <v>0</v>
      </c>
      <c r="G70" s="487">
        <f t="shared" si="15"/>
        <v>0</v>
      </c>
      <c r="H70" s="456">
        <f t="shared" si="16"/>
        <v>0</v>
      </c>
      <c r="I70" s="476">
        <f t="shared" si="17"/>
        <v>0</v>
      </c>
      <c r="J70" s="476"/>
      <c r="K70" s="488"/>
      <c r="L70" s="479">
        <f t="shared" si="18"/>
        <v>0</v>
      </c>
      <c r="M70" s="488"/>
      <c r="N70" s="479">
        <f t="shared" si="19"/>
        <v>0</v>
      </c>
      <c r="O70" s="479">
        <f t="shared" si="20"/>
        <v>0</v>
      </c>
      <c r="P70" s="243"/>
    </row>
    <row r="71" spans="2:16" ht="12.5">
      <c r="B71" s="160" t="str">
        <f t="shared" si="6"/>
        <v/>
      </c>
      <c r="C71" s="473">
        <f>IF(D11="","-",+C70+1)</f>
        <v>2060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4"/>
        <v>0</v>
      </c>
      <c r="G71" s="487">
        <f t="shared" si="15"/>
        <v>0</v>
      </c>
      <c r="H71" s="456">
        <f t="shared" si="16"/>
        <v>0</v>
      </c>
      <c r="I71" s="476">
        <f t="shared" si="17"/>
        <v>0</v>
      </c>
      <c r="J71" s="476"/>
      <c r="K71" s="488"/>
      <c r="L71" s="479">
        <f t="shared" si="18"/>
        <v>0</v>
      </c>
      <c r="M71" s="488"/>
      <c r="N71" s="479">
        <f t="shared" si="19"/>
        <v>0</v>
      </c>
      <c r="O71" s="479">
        <f t="shared" si="20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2061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4"/>
        <v>0</v>
      </c>
      <c r="G72" s="491">
        <f t="shared" si="15"/>
        <v>0</v>
      </c>
      <c r="H72" s="491">
        <f t="shared" si="16"/>
        <v>0</v>
      </c>
      <c r="I72" s="494">
        <f t="shared" si="17"/>
        <v>0</v>
      </c>
      <c r="J72" s="476"/>
      <c r="K72" s="495"/>
      <c r="L72" s="496">
        <f t="shared" si="18"/>
        <v>0</v>
      </c>
      <c r="M72" s="495"/>
      <c r="N72" s="496">
        <f t="shared" si="19"/>
        <v>0</v>
      </c>
      <c r="O72" s="496">
        <f t="shared" si="20"/>
        <v>0</v>
      </c>
      <c r="P72" s="243"/>
    </row>
    <row r="73" spans="2:16" ht="12.5">
      <c r="C73" s="347" t="s">
        <v>77</v>
      </c>
      <c r="D73" s="348"/>
      <c r="E73" s="348">
        <f>SUM(E17:E72)</f>
        <v>387741.99999999959</v>
      </c>
      <c r="F73" s="348"/>
      <c r="G73" s="348">
        <f>SUM(G17:G72)</f>
        <v>1502919.9799202059</v>
      </c>
      <c r="H73" s="348">
        <f>SUM(H17:H72)</f>
        <v>1502919.9799202059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5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39392.204131039958</v>
      </c>
      <c r="N87" s="509">
        <f>IF(J92&lt;D11,0,VLOOKUP(J92,C17:O72,11))</f>
        <v>39392.204131039958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40996.940785437022</v>
      </c>
      <c r="N88" s="513">
        <f>IF(J92&lt;D11,0,VLOOKUP(J92,C99:P154,7))</f>
        <v>40996.940785437022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Catoosa 138 kV Device (Cap. Bank)</v>
      </c>
      <c r="E89" s="233"/>
      <c r="F89" s="233"/>
      <c r="G89" s="233">
        <v>387742</v>
      </c>
      <c r="H89" s="233"/>
      <c r="I89" s="242"/>
      <c r="J89" s="242"/>
      <c r="K89" s="516"/>
      <c r="L89" s="517" t="s">
        <v>156</v>
      </c>
      <c r="M89" s="518">
        <f>+M88-M87</f>
        <v>1604.7366543970638</v>
      </c>
      <c r="N89" s="518">
        <f>+N88-N87</f>
        <v>1604.7366543970638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TP2005006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387742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2006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5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9017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101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2006</v>
      </c>
      <c r="D99" s="474">
        <f>IF(D93=C99,0,D92)</f>
        <v>0</v>
      </c>
      <c r="E99" s="481">
        <v>3801</v>
      </c>
      <c r="F99" s="480">
        <v>383941</v>
      </c>
      <c r="G99" s="538">
        <v>385841</v>
      </c>
      <c r="H99" s="539">
        <v>0</v>
      </c>
      <c r="I99" s="540">
        <v>0</v>
      </c>
      <c r="J99" s="479">
        <f t="shared" ref="J99:J130" si="21">+I99-H99</f>
        <v>0</v>
      </c>
      <c r="K99" s="479"/>
      <c r="L99" s="555">
        <v>0</v>
      </c>
      <c r="M99" s="563">
        <f>IF(L99&lt;&gt;0,+H99-L99,0)</f>
        <v>0</v>
      </c>
      <c r="N99" s="555">
        <v>0</v>
      </c>
      <c r="O99" s="478">
        <f>IF(N99&lt;&gt;0,+I99-N99,0)</f>
        <v>0</v>
      </c>
      <c r="P99" s="478">
        <f t="shared" ref="P99:P130" si="22">+O99-M99</f>
        <v>0</v>
      </c>
    </row>
    <row r="100" spans="1:16" ht="12.5">
      <c r="B100" s="160" t="str">
        <f t="shared" ref="B100:B154" si="23">IF(D100=F99,"","IU")</f>
        <v/>
      </c>
      <c r="C100" s="473">
        <f>IF(D93="","-",+C99+1)</f>
        <v>2007</v>
      </c>
      <c r="D100" s="474">
        <v>383941</v>
      </c>
      <c r="E100" s="562">
        <v>7603</v>
      </c>
      <c r="F100" s="480">
        <v>376338</v>
      </c>
      <c r="G100" s="480">
        <v>380140</v>
      </c>
      <c r="H100" s="481">
        <v>66528</v>
      </c>
      <c r="I100" s="482">
        <v>66528</v>
      </c>
      <c r="J100" s="479">
        <f t="shared" si="21"/>
        <v>0</v>
      </c>
      <c r="K100" s="479"/>
      <c r="L100" s="477">
        <v>0</v>
      </c>
      <c r="M100" s="551">
        <f>IF(L100&lt;&gt;0,+H100-L100,0)</f>
        <v>0</v>
      </c>
      <c r="N100" s="477">
        <v>0</v>
      </c>
      <c r="O100" s="479">
        <f>IF(N100&lt;&gt;0,+I100-N100,0)</f>
        <v>0</v>
      </c>
      <c r="P100" s="479">
        <f t="shared" si="22"/>
        <v>0</v>
      </c>
    </row>
    <row r="101" spans="1:16" ht="12.5">
      <c r="B101" s="160"/>
      <c r="C101" s="473">
        <f>IF(D93="","-",+C100+1)</f>
        <v>2008</v>
      </c>
      <c r="D101" s="474">
        <v>376159</v>
      </c>
      <c r="E101" s="562">
        <v>7316</v>
      </c>
      <c r="F101" s="480">
        <v>368843</v>
      </c>
      <c r="G101" s="480">
        <v>372501</v>
      </c>
      <c r="H101" s="481">
        <v>66486</v>
      </c>
      <c r="I101" s="482">
        <v>66486</v>
      </c>
      <c r="J101" s="479">
        <f t="shared" si="21"/>
        <v>0</v>
      </c>
      <c r="K101" s="479"/>
      <c r="L101" s="477">
        <v>66486</v>
      </c>
      <c r="M101" s="479">
        <f>IF(L101&lt;&gt;"",+H101-L101,0)</f>
        <v>0</v>
      </c>
      <c r="N101" s="477">
        <v>66486</v>
      </c>
      <c r="O101" s="479">
        <f>IF(N101&lt;&gt;"",+I101-N101,0)</f>
        <v>0</v>
      </c>
      <c r="P101" s="479">
        <f t="shared" si="22"/>
        <v>0</v>
      </c>
    </row>
    <row r="102" spans="1:16" ht="12.5">
      <c r="B102" s="160"/>
      <c r="C102" s="473">
        <f>IF(D93="","-",+C101+1)</f>
        <v>2009</v>
      </c>
      <c r="D102" s="474">
        <v>369022</v>
      </c>
      <c r="E102" s="481">
        <v>6924</v>
      </c>
      <c r="F102" s="480">
        <v>362098</v>
      </c>
      <c r="G102" s="480">
        <v>365560</v>
      </c>
      <c r="H102" s="481">
        <v>60371.899487403767</v>
      </c>
      <c r="I102" s="482">
        <v>60371.899487403767</v>
      </c>
      <c r="J102" s="479">
        <f t="shared" si="21"/>
        <v>0</v>
      </c>
      <c r="K102" s="479"/>
      <c r="L102" s="477">
        <f t="shared" ref="L102:L107" si="24">H102</f>
        <v>60371.899487403767</v>
      </c>
      <c r="M102" s="551">
        <f t="shared" ref="M102:M133" si="25">IF(L102&lt;&gt;0,+H102-L102,0)</f>
        <v>0</v>
      </c>
      <c r="N102" s="477">
        <f t="shared" ref="N102:N107" si="26">I102</f>
        <v>60371.899487403767</v>
      </c>
      <c r="O102" s="479">
        <f t="shared" ref="O102:O133" si="27">IF(N102&lt;&gt;0,+I102-N102,0)</f>
        <v>0</v>
      </c>
      <c r="P102" s="479">
        <f t="shared" si="22"/>
        <v>0</v>
      </c>
    </row>
    <row r="103" spans="1:16" ht="12.5">
      <c r="B103" s="160" t="str">
        <f t="shared" si="23"/>
        <v/>
      </c>
      <c r="C103" s="473">
        <f>IF(D93="","-",+C102+1)</f>
        <v>2010</v>
      </c>
      <c r="D103" s="474">
        <v>362098</v>
      </c>
      <c r="E103" s="481">
        <v>7603</v>
      </c>
      <c r="F103" s="480">
        <v>354495</v>
      </c>
      <c r="G103" s="480">
        <v>358296.5</v>
      </c>
      <c r="H103" s="481">
        <v>65222.531099646738</v>
      </c>
      <c r="I103" s="482">
        <v>65222.531099646738</v>
      </c>
      <c r="J103" s="479">
        <f t="shared" si="21"/>
        <v>0</v>
      </c>
      <c r="K103" s="479"/>
      <c r="L103" s="541">
        <f t="shared" si="24"/>
        <v>65222.531099646738</v>
      </c>
      <c r="M103" s="542">
        <f t="shared" si="25"/>
        <v>0</v>
      </c>
      <c r="N103" s="541">
        <f t="shared" si="26"/>
        <v>65222.531099646738</v>
      </c>
      <c r="O103" s="479">
        <f t="shared" si="27"/>
        <v>0</v>
      </c>
      <c r="P103" s="479">
        <f t="shared" si="22"/>
        <v>0</v>
      </c>
    </row>
    <row r="104" spans="1:16" ht="12.5">
      <c r="B104" s="160" t="str">
        <f t="shared" si="23"/>
        <v/>
      </c>
      <c r="C104" s="473">
        <f>IF(D93="","-",+C103+1)</f>
        <v>2011</v>
      </c>
      <c r="D104" s="474">
        <v>354495</v>
      </c>
      <c r="E104" s="481">
        <v>7457</v>
      </c>
      <c r="F104" s="480">
        <v>347038</v>
      </c>
      <c r="G104" s="480">
        <v>350766.5</v>
      </c>
      <c r="H104" s="481">
        <v>56498.870276795831</v>
      </c>
      <c r="I104" s="482">
        <v>56498.870276795831</v>
      </c>
      <c r="J104" s="479">
        <f t="shared" si="21"/>
        <v>0</v>
      </c>
      <c r="K104" s="479"/>
      <c r="L104" s="541">
        <f t="shared" si="24"/>
        <v>56498.870276795831</v>
      </c>
      <c r="M104" s="542">
        <f t="shared" si="25"/>
        <v>0</v>
      </c>
      <c r="N104" s="541">
        <f t="shared" si="26"/>
        <v>56498.870276795831</v>
      </c>
      <c r="O104" s="479">
        <f t="shared" si="27"/>
        <v>0</v>
      </c>
      <c r="P104" s="479">
        <f t="shared" si="22"/>
        <v>0</v>
      </c>
    </row>
    <row r="105" spans="1:16" ht="12.5">
      <c r="B105" s="160" t="str">
        <f t="shared" si="23"/>
        <v/>
      </c>
      <c r="C105" s="473">
        <f>IF(D93="","-",+C104+1)</f>
        <v>2012</v>
      </c>
      <c r="D105" s="474">
        <v>347038</v>
      </c>
      <c r="E105" s="481">
        <v>7457</v>
      </c>
      <c r="F105" s="480">
        <v>339581</v>
      </c>
      <c r="G105" s="480">
        <v>343309.5</v>
      </c>
      <c r="H105" s="481">
        <v>56843.953528154576</v>
      </c>
      <c r="I105" s="482">
        <v>56843.953528154576</v>
      </c>
      <c r="J105" s="479">
        <v>0</v>
      </c>
      <c r="K105" s="479"/>
      <c r="L105" s="541">
        <f t="shared" si="24"/>
        <v>56843.953528154576</v>
      </c>
      <c r="M105" s="542">
        <f t="shared" ref="M105:M110" si="28">IF(L105&lt;&gt;0,+H105-L105,0)</f>
        <v>0</v>
      </c>
      <c r="N105" s="541">
        <f t="shared" si="26"/>
        <v>56843.953528154576</v>
      </c>
      <c r="O105" s="479">
        <f t="shared" ref="O105:O110" si="29">IF(N105&lt;&gt;0,+I105-N105,0)</f>
        <v>0</v>
      </c>
      <c r="P105" s="479">
        <f t="shared" ref="P105:P110" si="30">+O105-M105</f>
        <v>0</v>
      </c>
    </row>
    <row r="106" spans="1:16" ht="12.5">
      <c r="B106" s="160" t="str">
        <f t="shared" si="23"/>
        <v/>
      </c>
      <c r="C106" s="473">
        <f>IF(D93="","-",+C105+1)</f>
        <v>2013</v>
      </c>
      <c r="D106" s="474">
        <v>339581</v>
      </c>
      <c r="E106" s="481">
        <v>7457</v>
      </c>
      <c r="F106" s="480">
        <v>332124</v>
      </c>
      <c r="G106" s="480">
        <v>335852.5</v>
      </c>
      <c r="H106" s="481">
        <v>55799.472473591821</v>
      </c>
      <c r="I106" s="482">
        <v>55799.472473591821</v>
      </c>
      <c r="J106" s="479">
        <v>0</v>
      </c>
      <c r="K106" s="479"/>
      <c r="L106" s="541">
        <f t="shared" si="24"/>
        <v>55799.472473591821</v>
      </c>
      <c r="M106" s="542">
        <f t="shared" si="28"/>
        <v>0</v>
      </c>
      <c r="N106" s="541">
        <f t="shared" si="26"/>
        <v>55799.472473591821</v>
      </c>
      <c r="O106" s="479">
        <f t="shared" si="29"/>
        <v>0</v>
      </c>
      <c r="P106" s="479">
        <f t="shared" si="30"/>
        <v>0</v>
      </c>
    </row>
    <row r="107" spans="1:16" ht="12.5">
      <c r="B107" s="160" t="str">
        <f t="shared" si="23"/>
        <v/>
      </c>
      <c r="C107" s="473">
        <f>IF(D93="","-",+C106+1)</f>
        <v>2014</v>
      </c>
      <c r="D107" s="474">
        <v>332124</v>
      </c>
      <c r="E107" s="481">
        <v>7457</v>
      </c>
      <c r="F107" s="480">
        <v>324667</v>
      </c>
      <c r="G107" s="480">
        <v>328395.5</v>
      </c>
      <c r="H107" s="481">
        <v>53628.064898886892</v>
      </c>
      <c r="I107" s="482">
        <v>53628.064898886892</v>
      </c>
      <c r="J107" s="479">
        <v>0</v>
      </c>
      <c r="K107" s="479"/>
      <c r="L107" s="541">
        <f t="shared" si="24"/>
        <v>53628.064898886892</v>
      </c>
      <c r="M107" s="542">
        <f t="shared" si="28"/>
        <v>0</v>
      </c>
      <c r="N107" s="541">
        <f t="shared" si="26"/>
        <v>53628.064898886892</v>
      </c>
      <c r="O107" s="479">
        <f t="shared" si="29"/>
        <v>0</v>
      </c>
      <c r="P107" s="479">
        <f t="shared" si="30"/>
        <v>0</v>
      </c>
    </row>
    <row r="108" spans="1:16" ht="12.5">
      <c r="B108" s="160" t="str">
        <f t="shared" si="23"/>
        <v/>
      </c>
      <c r="C108" s="473">
        <f>IF(D93="","-",+C107+1)</f>
        <v>2015</v>
      </c>
      <c r="D108" s="474">
        <v>324667</v>
      </c>
      <c r="E108" s="481">
        <v>7457</v>
      </c>
      <c r="F108" s="480">
        <v>317210</v>
      </c>
      <c r="G108" s="480">
        <v>320938.5</v>
      </c>
      <c r="H108" s="481">
        <v>51246.477852296055</v>
      </c>
      <c r="I108" s="482">
        <v>51246.477852296055</v>
      </c>
      <c r="J108" s="479">
        <f t="shared" si="21"/>
        <v>0</v>
      </c>
      <c r="K108" s="479"/>
      <c r="L108" s="541">
        <f>H108</f>
        <v>51246.477852296055</v>
      </c>
      <c r="M108" s="542">
        <f t="shared" si="28"/>
        <v>0</v>
      </c>
      <c r="N108" s="541">
        <f>I108</f>
        <v>51246.477852296055</v>
      </c>
      <c r="O108" s="479">
        <f t="shared" si="29"/>
        <v>0</v>
      </c>
      <c r="P108" s="479">
        <f t="shared" si="30"/>
        <v>0</v>
      </c>
    </row>
    <row r="109" spans="1:16" ht="12.5">
      <c r="B109" s="160" t="str">
        <f t="shared" si="23"/>
        <v/>
      </c>
      <c r="C109" s="473">
        <f>IF(D93="","-",+C108+1)</f>
        <v>2016</v>
      </c>
      <c r="D109" s="474">
        <v>317210</v>
      </c>
      <c r="E109" s="481">
        <v>8429</v>
      </c>
      <c r="F109" s="480">
        <v>308781</v>
      </c>
      <c r="G109" s="480">
        <v>312995.5</v>
      </c>
      <c r="H109" s="481">
        <v>48779.04927680167</v>
      </c>
      <c r="I109" s="482">
        <v>48779.04927680167</v>
      </c>
      <c r="J109" s="479">
        <f t="shared" si="21"/>
        <v>0</v>
      </c>
      <c r="K109" s="479"/>
      <c r="L109" s="541">
        <f>H109</f>
        <v>48779.04927680167</v>
      </c>
      <c r="M109" s="542">
        <f t="shared" si="28"/>
        <v>0</v>
      </c>
      <c r="N109" s="541">
        <f>I109</f>
        <v>48779.04927680167</v>
      </c>
      <c r="O109" s="479">
        <f t="shared" si="29"/>
        <v>0</v>
      </c>
      <c r="P109" s="479">
        <f t="shared" si="30"/>
        <v>0</v>
      </c>
    </row>
    <row r="110" spans="1:16" ht="12.5">
      <c r="B110" s="160" t="str">
        <f t="shared" si="23"/>
        <v/>
      </c>
      <c r="C110" s="473">
        <f>IF(D93="","-",+C109+1)</f>
        <v>2017</v>
      </c>
      <c r="D110" s="474">
        <v>308781</v>
      </c>
      <c r="E110" s="481">
        <v>8429</v>
      </c>
      <c r="F110" s="480">
        <v>300352</v>
      </c>
      <c r="G110" s="480">
        <v>304566.5</v>
      </c>
      <c r="H110" s="481">
        <v>47064.028489702585</v>
      </c>
      <c r="I110" s="482">
        <v>47064.028489702585</v>
      </c>
      <c r="J110" s="479">
        <f t="shared" si="21"/>
        <v>0</v>
      </c>
      <c r="K110" s="479"/>
      <c r="L110" s="541">
        <f>H110</f>
        <v>47064.028489702585</v>
      </c>
      <c r="M110" s="542">
        <f t="shared" si="28"/>
        <v>0</v>
      </c>
      <c r="N110" s="541">
        <f>I110</f>
        <v>47064.028489702585</v>
      </c>
      <c r="O110" s="479">
        <f t="shared" si="29"/>
        <v>0</v>
      </c>
      <c r="P110" s="479">
        <f t="shared" si="30"/>
        <v>0</v>
      </c>
    </row>
    <row r="111" spans="1:16" ht="12.5">
      <c r="B111" s="160" t="str">
        <f t="shared" si="23"/>
        <v/>
      </c>
      <c r="C111" s="473">
        <f>IF(D93="","-",+C110+1)</f>
        <v>2018</v>
      </c>
      <c r="D111" s="474">
        <v>300352</v>
      </c>
      <c r="E111" s="481">
        <v>9017</v>
      </c>
      <c r="F111" s="480">
        <v>291335</v>
      </c>
      <c r="G111" s="480">
        <v>295843.5</v>
      </c>
      <c r="H111" s="481">
        <v>39410.649664559314</v>
      </c>
      <c r="I111" s="482">
        <v>39410.649664559314</v>
      </c>
      <c r="J111" s="479">
        <f t="shared" si="21"/>
        <v>0</v>
      </c>
      <c r="K111" s="479"/>
      <c r="L111" s="541">
        <f>H111</f>
        <v>39410.649664559314</v>
      </c>
      <c r="M111" s="542">
        <f t="shared" ref="M111" si="31">IF(L111&lt;&gt;0,+H111-L111,0)</f>
        <v>0</v>
      </c>
      <c r="N111" s="541">
        <f>I111</f>
        <v>39410.649664559314</v>
      </c>
      <c r="O111" s="479">
        <f t="shared" ref="O111" si="32">IF(N111&lt;&gt;0,+I111-N111,0)</f>
        <v>0</v>
      </c>
      <c r="P111" s="479">
        <f t="shared" ref="P111" si="33">+O111-M111</f>
        <v>0</v>
      </c>
    </row>
    <row r="112" spans="1:16" ht="12.5">
      <c r="B112" s="160" t="str">
        <f t="shared" si="23"/>
        <v/>
      </c>
      <c r="C112" s="473">
        <f>IF(D93="","-",+C111+1)</f>
        <v>2019</v>
      </c>
      <c r="D112" s="474">
        <v>291335</v>
      </c>
      <c r="E112" s="481">
        <v>9457</v>
      </c>
      <c r="F112" s="480">
        <v>281878</v>
      </c>
      <c r="G112" s="480">
        <v>286606.5</v>
      </c>
      <c r="H112" s="481">
        <v>39010.150115878176</v>
      </c>
      <c r="I112" s="482">
        <v>39010.150115878176</v>
      </c>
      <c r="J112" s="479">
        <f t="shared" si="21"/>
        <v>0</v>
      </c>
      <c r="K112" s="479"/>
      <c r="L112" s="541">
        <f>H112</f>
        <v>39010.150115878176</v>
      </c>
      <c r="M112" s="542">
        <f t="shared" ref="M112" si="34">IF(L112&lt;&gt;0,+H112-L112,0)</f>
        <v>0</v>
      </c>
      <c r="N112" s="541">
        <f>I112</f>
        <v>39010.150115878176</v>
      </c>
      <c r="O112" s="479">
        <f t="shared" si="27"/>
        <v>0</v>
      </c>
      <c r="P112" s="479">
        <f t="shared" si="22"/>
        <v>0</v>
      </c>
    </row>
    <row r="113" spans="2:16" ht="12.5">
      <c r="B113" s="160" t="str">
        <f t="shared" si="23"/>
        <v/>
      </c>
      <c r="C113" s="473">
        <f>IF(D93="","-",+C112+1)</f>
        <v>2020</v>
      </c>
      <c r="D113" s="347">
        <f>IF(F112+SUM(E$99:E112)=D$92,F112,D$92-SUM(E$99:E112))</f>
        <v>281878</v>
      </c>
      <c r="E113" s="487">
        <f>IF(+J96&lt;F112,J96,D113)</f>
        <v>9017</v>
      </c>
      <c r="F113" s="486">
        <f t="shared" ref="F113:F130" si="35">+D113-E113</f>
        <v>272861</v>
      </c>
      <c r="G113" s="486">
        <f t="shared" ref="G113:G130" si="36">+(F113+D113)/2</f>
        <v>277369.5</v>
      </c>
      <c r="H113" s="487">
        <f>(D113+F113)/2*J$94+E113</f>
        <v>40996.940785437022</v>
      </c>
      <c r="I113" s="543">
        <f t="shared" ref="I113" si="37">+J$95*G113+E113</f>
        <v>40996.940785437022</v>
      </c>
      <c r="J113" s="479">
        <f t="shared" si="21"/>
        <v>0</v>
      </c>
      <c r="K113" s="479"/>
      <c r="L113" s="488"/>
      <c r="M113" s="479">
        <f t="shared" si="25"/>
        <v>0</v>
      </c>
      <c r="N113" s="488"/>
      <c r="O113" s="479">
        <f t="shared" si="27"/>
        <v>0</v>
      </c>
      <c r="P113" s="479">
        <f t="shared" si="22"/>
        <v>0</v>
      </c>
    </row>
    <row r="114" spans="2:16" ht="12.5">
      <c r="B114" s="160" t="str">
        <f t="shared" si="23"/>
        <v/>
      </c>
      <c r="C114" s="473">
        <f>IF(D93="","-",+C113+1)</f>
        <v>2021</v>
      </c>
      <c r="D114" s="347">
        <f>IF(F113+SUM(E$99:E113)=D$92,F113,D$92-SUM(E$99:E113))</f>
        <v>272861</v>
      </c>
      <c r="E114" s="487">
        <f>IF(+J96&lt;F113,J96,D114)</f>
        <v>9017</v>
      </c>
      <c r="F114" s="486">
        <f t="shared" si="35"/>
        <v>263844</v>
      </c>
      <c r="G114" s="486">
        <f t="shared" si="36"/>
        <v>268352.5</v>
      </c>
      <c r="H114" s="487">
        <f t="shared" ref="H114:H153" si="38">(D114+F114)/2*J$94+E114</f>
        <v>39957.305475634443</v>
      </c>
      <c r="I114" s="543">
        <f t="shared" ref="I114:I153" si="39">+J$95*G114+E114</f>
        <v>39957.305475634443</v>
      </c>
      <c r="J114" s="479">
        <f t="shared" si="21"/>
        <v>0</v>
      </c>
      <c r="K114" s="479"/>
      <c r="L114" s="488"/>
      <c r="M114" s="479">
        <f t="shared" si="25"/>
        <v>0</v>
      </c>
      <c r="N114" s="488"/>
      <c r="O114" s="479">
        <f t="shared" si="27"/>
        <v>0</v>
      </c>
      <c r="P114" s="479">
        <f t="shared" si="22"/>
        <v>0</v>
      </c>
    </row>
    <row r="115" spans="2:16" ht="12.5">
      <c r="B115" s="160" t="str">
        <f t="shared" si="23"/>
        <v/>
      </c>
      <c r="C115" s="473">
        <f>IF(D93="","-",+C114+1)</f>
        <v>2022</v>
      </c>
      <c r="D115" s="347">
        <f>IF(F114+SUM(E$99:E114)=D$92,F114,D$92-SUM(E$99:E114))</f>
        <v>263844</v>
      </c>
      <c r="E115" s="487">
        <f>IF(+J96&lt;F114,J96,D115)</f>
        <v>9017</v>
      </c>
      <c r="F115" s="486">
        <f t="shared" si="35"/>
        <v>254827</v>
      </c>
      <c r="G115" s="486">
        <f t="shared" si="36"/>
        <v>259335.5</v>
      </c>
      <c r="H115" s="487">
        <f t="shared" si="38"/>
        <v>38917.670165831863</v>
      </c>
      <c r="I115" s="543">
        <f t="shared" si="39"/>
        <v>38917.670165831863</v>
      </c>
      <c r="J115" s="479">
        <f t="shared" si="21"/>
        <v>0</v>
      </c>
      <c r="K115" s="479"/>
      <c r="L115" s="488"/>
      <c r="M115" s="479">
        <f t="shared" si="25"/>
        <v>0</v>
      </c>
      <c r="N115" s="488"/>
      <c r="O115" s="479">
        <f t="shared" si="27"/>
        <v>0</v>
      </c>
      <c r="P115" s="479">
        <f t="shared" si="22"/>
        <v>0</v>
      </c>
    </row>
    <row r="116" spans="2:16" ht="12.5">
      <c r="B116" s="160" t="str">
        <f t="shared" si="23"/>
        <v/>
      </c>
      <c r="C116" s="473">
        <f>IF(D93="","-",+C115+1)</f>
        <v>2023</v>
      </c>
      <c r="D116" s="347">
        <f>IF(F115+SUM(E$99:E115)=D$92,F115,D$92-SUM(E$99:E115))</f>
        <v>254827</v>
      </c>
      <c r="E116" s="487">
        <f>IF(+J96&lt;F115,J96,D116)</f>
        <v>9017</v>
      </c>
      <c r="F116" s="486">
        <f t="shared" si="35"/>
        <v>245810</v>
      </c>
      <c r="G116" s="486">
        <f t="shared" si="36"/>
        <v>250318.5</v>
      </c>
      <c r="H116" s="487">
        <f t="shared" si="38"/>
        <v>37878.034856029291</v>
      </c>
      <c r="I116" s="543">
        <f t="shared" si="39"/>
        <v>37878.034856029291</v>
      </c>
      <c r="J116" s="479">
        <f t="shared" si="21"/>
        <v>0</v>
      </c>
      <c r="K116" s="479"/>
      <c r="L116" s="488"/>
      <c r="M116" s="479">
        <f t="shared" si="25"/>
        <v>0</v>
      </c>
      <c r="N116" s="488"/>
      <c r="O116" s="479">
        <f t="shared" si="27"/>
        <v>0</v>
      </c>
      <c r="P116" s="479">
        <f t="shared" si="22"/>
        <v>0</v>
      </c>
    </row>
    <row r="117" spans="2:16" ht="12.5">
      <c r="B117" s="160" t="str">
        <f t="shared" si="23"/>
        <v/>
      </c>
      <c r="C117" s="473">
        <f>IF(D93="","-",+C116+1)</f>
        <v>2024</v>
      </c>
      <c r="D117" s="347">
        <f>IF(F116+SUM(E$99:E116)=D$92,F116,D$92-SUM(E$99:E116))</f>
        <v>245810</v>
      </c>
      <c r="E117" s="487">
        <f>IF(+J96&lt;F116,J96,D117)</f>
        <v>9017</v>
      </c>
      <c r="F117" s="486">
        <f t="shared" si="35"/>
        <v>236793</v>
      </c>
      <c r="G117" s="486">
        <f t="shared" si="36"/>
        <v>241301.5</v>
      </c>
      <c r="H117" s="487">
        <f t="shared" si="38"/>
        <v>36838.399546226719</v>
      </c>
      <c r="I117" s="543">
        <f t="shared" si="39"/>
        <v>36838.399546226719</v>
      </c>
      <c r="J117" s="479">
        <f t="shared" si="21"/>
        <v>0</v>
      </c>
      <c r="K117" s="479"/>
      <c r="L117" s="488"/>
      <c r="M117" s="479">
        <f t="shared" si="25"/>
        <v>0</v>
      </c>
      <c r="N117" s="488"/>
      <c r="O117" s="479">
        <f t="shared" si="27"/>
        <v>0</v>
      </c>
      <c r="P117" s="479">
        <f t="shared" si="22"/>
        <v>0</v>
      </c>
    </row>
    <row r="118" spans="2:16" ht="12.5">
      <c r="B118" s="160" t="str">
        <f t="shared" si="23"/>
        <v/>
      </c>
      <c r="C118" s="473">
        <f>IF(D93="","-",+C117+1)</f>
        <v>2025</v>
      </c>
      <c r="D118" s="347">
        <f>IF(F117+SUM(E$99:E117)=D$92,F117,D$92-SUM(E$99:E117))</f>
        <v>236793</v>
      </c>
      <c r="E118" s="487">
        <f>IF(+J96&lt;F117,J96,D118)</f>
        <v>9017</v>
      </c>
      <c r="F118" s="486">
        <f t="shared" si="35"/>
        <v>227776</v>
      </c>
      <c r="G118" s="486">
        <f t="shared" si="36"/>
        <v>232284.5</v>
      </c>
      <c r="H118" s="487">
        <f t="shared" si="38"/>
        <v>35798.76423642414</v>
      </c>
      <c r="I118" s="543">
        <f t="shared" si="39"/>
        <v>35798.76423642414</v>
      </c>
      <c r="J118" s="479">
        <f t="shared" si="21"/>
        <v>0</v>
      </c>
      <c r="K118" s="479"/>
      <c r="L118" s="488"/>
      <c r="M118" s="479">
        <f t="shared" si="25"/>
        <v>0</v>
      </c>
      <c r="N118" s="488"/>
      <c r="O118" s="479">
        <f t="shared" si="27"/>
        <v>0</v>
      </c>
      <c r="P118" s="479">
        <f t="shared" si="22"/>
        <v>0</v>
      </c>
    </row>
    <row r="119" spans="2:16" ht="12.5">
      <c r="B119" s="160" t="str">
        <f t="shared" si="23"/>
        <v/>
      </c>
      <c r="C119" s="473">
        <f>IF(D93="","-",+C118+1)</f>
        <v>2026</v>
      </c>
      <c r="D119" s="347">
        <f>IF(F118+SUM(E$99:E118)=D$92,F118,D$92-SUM(E$99:E118))</f>
        <v>227776</v>
      </c>
      <c r="E119" s="487">
        <f>IF(+J96&lt;F118,J96,D119)</f>
        <v>9017</v>
      </c>
      <c r="F119" s="486">
        <f t="shared" si="35"/>
        <v>218759</v>
      </c>
      <c r="G119" s="486">
        <f t="shared" si="36"/>
        <v>223267.5</v>
      </c>
      <c r="H119" s="487">
        <f t="shared" si="38"/>
        <v>34759.128926621561</v>
      </c>
      <c r="I119" s="543">
        <f t="shared" si="39"/>
        <v>34759.128926621561</v>
      </c>
      <c r="J119" s="479">
        <f t="shared" si="21"/>
        <v>0</v>
      </c>
      <c r="K119" s="479"/>
      <c r="L119" s="488"/>
      <c r="M119" s="479">
        <f t="shared" si="25"/>
        <v>0</v>
      </c>
      <c r="N119" s="488"/>
      <c r="O119" s="479">
        <f t="shared" si="27"/>
        <v>0</v>
      </c>
      <c r="P119" s="479">
        <f t="shared" si="22"/>
        <v>0</v>
      </c>
    </row>
    <row r="120" spans="2:16" ht="12.5">
      <c r="B120" s="160" t="str">
        <f t="shared" si="23"/>
        <v/>
      </c>
      <c r="C120" s="473">
        <f>IF(D93="","-",+C119+1)</f>
        <v>2027</v>
      </c>
      <c r="D120" s="347">
        <f>IF(F119+SUM(E$99:E119)=D$92,F119,D$92-SUM(E$99:E119))</f>
        <v>218759</v>
      </c>
      <c r="E120" s="487">
        <f>IF(+J96&lt;F119,J96,D120)</f>
        <v>9017</v>
      </c>
      <c r="F120" s="486">
        <f t="shared" si="35"/>
        <v>209742</v>
      </c>
      <c r="G120" s="486">
        <f t="shared" si="36"/>
        <v>214250.5</v>
      </c>
      <c r="H120" s="487">
        <f t="shared" si="38"/>
        <v>33719.493616818989</v>
      </c>
      <c r="I120" s="543">
        <f t="shared" si="39"/>
        <v>33719.493616818989</v>
      </c>
      <c r="J120" s="479">
        <f t="shared" si="21"/>
        <v>0</v>
      </c>
      <c r="K120" s="479"/>
      <c r="L120" s="488"/>
      <c r="M120" s="479">
        <f t="shared" si="25"/>
        <v>0</v>
      </c>
      <c r="N120" s="488"/>
      <c r="O120" s="479">
        <f t="shared" si="27"/>
        <v>0</v>
      </c>
      <c r="P120" s="479">
        <f t="shared" si="22"/>
        <v>0</v>
      </c>
    </row>
    <row r="121" spans="2:16" ht="12.5">
      <c r="B121" s="160" t="str">
        <f t="shared" si="23"/>
        <v/>
      </c>
      <c r="C121" s="473">
        <f>IF(D93="","-",+C120+1)</f>
        <v>2028</v>
      </c>
      <c r="D121" s="347">
        <f>IF(F120+SUM(E$99:E120)=D$92,F120,D$92-SUM(E$99:E120))</f>
        <v>209742</v>
      </c>
      <c r="E121" s="487">
        <f>IF(+J96&lt;F120,J96,D121)</f>
        <v>9017</v>
      </c>
      <c r="F121" s="486">
        <f t="shared" si="35"/>
        <v>200725</v>
      </c>
      <c r="G121" s="486">
        <f t="shared" si="36"/>
        <v>205233.5</v>
      </c>
      <c r="H121" s="487">
        <f t="shared" si="38"/>
        <v>32679.858307016413</v>
      </c>
      <c r="I121" s="543">
        <f t="shared" si="39"/>
        <v>32679.858307016413</v>
      </c>
      <c r="J121" s="479">
        <f t="shared" si="21"/>
        <v>0</v>
      </c>
      <c r="K121" s="479"/>
      <c r="L121" s="488"/>
      <c r="M121" s="479">
        <f t="shared" si="25"/>
        <v>0</v>
      </c>
      <c r="N121" s="488"/>
      <c r="O121" s="479">
        <f t="shared" si="27"/>
        <v>0</v>
      </c>
      <c r="P121" s="479">
        <f t="shared" si="22"/>
        <v>0</v>
      </c>
    </row>
    <row r="122" spans="2:16" ht="12.5">
      <c r="B122" s="160" t="str">
        <f t="shared" si="23"/>
        <v/>
      </c>
      <c r="C122" s="473">
        <f>IF(D93="","-",+C121+1)</f>
        <v>2029</v>
      </c>
      <c r="D122" s="347">
        <f>IF(F121+SUM(E$99:E121)=D$92,F121,D$92-SUM(E$99:E121))</f>
        <v>200725</v>
      </c>
      <c r="E122" s="487">
        <f>IF(+J96&lt;F121,J96,D122)</f>
        <v>9017</v>
      </c>
      <c r="F122" s="486">
        <f t="shared" si="35"/>
        <v>191708</v>
      </c>
      <c r="G122" s="486">
        <f t="shared" si="36"/>
        <v>196216.5</v>
      </c>
      <c r="H122" s="487">
        <f t="shared" si="38"/>
        <v>31640.222997213838</v>
      </c>
      <c r="I122" s="543">
        <f t="shared" si="39"/>
        <v>31640.222997213838</v>
      </c>
      <c r="J122" s="479">
        <f t="shared" si="21"/>
        <v>0</v>
      </c>
      <c r="K122" s="479"/>
      <c r="L122" s="488"/>
      <c r="M122" s="479">
        <f t="shared" si="25"/>
        <v>0</v>
      </c>
      <c r="N122" s="488"/>
      <c r="O122" s="479">
        <f t="shared" si="27"/>
        <v>0</v>
      </c>
      <c r="P122" s="479">
        <f t="shared" si="22"/>
        <v>0</v>
      </c>
    </row>
    <row r="123" spans="2:16" ht="12.5">
      <c r="B123" s="160" t="str">
        <f t="shared" si="23"/>
        <v/>
      </c>
      <c r="C123" s="473">
        <f>IF(D93="","-",+C122+1)</f>
        <v>2030</v>
      </c>
      <c r="D123" s="347">
        <f>IF(F122+SUM(E$99:E122)=D$92,F122,D$92-SUM(E$99:E122))</f>
        <v>191708</v>
      </c>
      <c r="E123" s="487">
        <f>IF(+J96&lt;F122,J96,D123)</f>
        <v>9017</v>
      </c>
      <c r="F123" s="486">
        <f t="shared" si="35"/>
        <v>182691</v>
      </c>
      <c r="G123" s="486">
        <f t="shared" si="36"/>
        <v>187199.5</v>
      </c>
      <c r="H123" s="487">
        <f t="shared" si="38"/>
        <v>30600.587687411258</v>
      </c>
      <c r="I123" s="543">
        <f t="shared" si="39"/>
        <v>30600.587687411258</v>
      </c>
      <c r="J123" s="479">
        <f t="shared" si="21"/>
        <v>0</v>
      </c>
      <c r="K123" s="479"/>
      <c r="L123" s="488"/>
      <c r="M123" s="479">
        <f t="shared" si="25"/>
        <v>0</v>
      </c>
      <c r="N123" s="488"/>
      <c r="O123" s="479">
        <f t="shared" si="27"/>
        <v>0</v>
      </c>
      <c r="P123" s="479">
        <f t="shared" si="22"/>
        <v>0</v>
      </c>
    </row>
    <row r="124" spans="2:16" ht="12.5">
      <c r="B124" s="160" t="str">
        <f t="shared" si="23"/>
        <v/>
      </c>
      <c r="C124" s="473">
        <f>IF(D93="","-",+C123+1)</f>
        <v>2031</v>
      </c>
      <c r="D124" s="347">
        <f>IF(F123+SUM(E$99:E123)=D$92,F123,D$92-SUM(E$99:E123))</f>
        <v>182691</v>
      </c>
      <c r="E124" s="487">
        <f>IF(+J96&lt;F123,J96,D124)</f>
        <v>9017</v>
      </c>
      <c r="F124" s="486">
        <f t="shared" si="35"/>
        <v>173674</v>
      </c>
      <c r="G124" s="486">
        <f t="shared" si="36"/>
        <v>178182.5</v>
      </c>
      <c r="H124" s="487">
        <f t="shared" si="38"/>
        <v>29560.952377608683</v>
      </c>
      <c r="I124" s="543">
        <f t="shared" si="39"/>
        <v>29560.952377608683</v>
      </c>
      <c r="J124" s="479">
        <f t="shared" si="21"/>
        <v>0</v>
      </c>
      <c r="K124" s="479"/>
      <c r="L124" s="488"/>
      <c r="M124" s="479">
        <f t="shared" si="25"/>
        <v>0</v>
      </c>
      <c r="N124" s="488"/>
      <c r="O124" s="479">
        <f t="shared" si="27"/>
        <v>0</v>
      </c>
      <c r="P124" s="479">
        <f t="shared" si="22"/>
        <v>0</v>
      </c>
    </row>
    <row r="125" spans="2:16" ht="12.5">
      <c r="B125" s="160" t="str">
        <f t="shared" si="23"/>
        <v/>
      </c>
      <c r="C125" s="473">
        <f>IF(D93="","-",+C124+1)</f>
        <v>2032</v>
      </c>
      <c r="D125" s="347">
        <f>IF(F124+SUM(E$99:E124)=D$92,F124,D$92-SUM(E$99:E124))</f>
        <v>173674</v>
      </c>
      <c r="E125" s="487">
        <f>IF(+J96&lt;F124,J96,D125)</f>
        <v>9017</v>
      </c>
      <c r="F125" s="486">
        <f t="shared" si="35"/>
        <v>164657</v>
      </c>
      <c r="G125" s="486">
        <f t="shared" si="36"/>
        <v>169165.5</v>
      </c>
      <c r="H125" s="487">
        <f t="shared" si="38"/>
        <v>28521.317067806107</v>
      </c>
      <c r="I125" s="543">
        <f t="shared" si="39"/>
        <v>28521.317067806107</v>
      </c>
      <c r="J125" s="479">
        <f t="shared" si="21"/>
        <v>0</v>
      </c>
      <c r="K125" s="479"/>
      <c r="L125" s="488"/>
      <c r="M125" s="479">
        <f t="shared" si="25"/>
        <v>0</v>
      </c>
      <c r="N125" s="488"/>
      <c r="O125" s="479">
        <f t="shared" si="27"/>
        <v>0</v>
      </c>
      <c r="P125" s="479">
        <f t="shared" si="22"/>
        <v>0</v>
      </c>
    </row>
    <row r="126" spans="2:16" ht="12.5">
      <c r="B126" s="160" t="str">
        <f t="shared" si="23"/>
        <v/>
      </c>
      <c r="C126" s="473">
        <f>IF(D93="","-",+C125+1)</f>
        <v>2033</v>
      </c>
      <c r="D126" s="347">
        <f>IF(F125+SUM(E$99:E125)=D$92,F125,D$92-SUM(E$99:E125))</f>
        <v>164657</v>
      </c>
      <c r="E126" s="487">
        <f>IF(+J96&lt;F125,J96,D126)</f>
        <v>9017</v>
      </c>
      <c r="F126" s="486">
        <f t="shared" si="35"/>
        <v>155640</v>
      </c>
      <c r="G126" s="486">
        <f t="shared" si="36"/>
        <v>160148.5</v>
      </c>
      <c r="H126" s="487">
        <f t="shared" si="38"/>
        <v>27481.681758003531</v>
      </c>
      <c r="I126" s="543">
        <f t="shared" si="39"/>
        <v>27481.681758003531</v>
      </c>
      <c r="J126" s="479">
        <f t="shared" si="21"/>
        <v>0</v>
      </c>
      <c r="K126" s="479"/>
      <c r="L126" s="488"/>
      <c r="M126" s="479">
        <f t="shared" si="25"/>
        <v>0</v>
      </c>
      <c r="N126" s="488"/>
      <c r="O126" s="479">
        <f t="shared" si="27"/>
        <v>0</v>
      </c>
      <c r="P126" s="479">
        <f t="shared" si="22"/>
        <v>0</v>
      </c>
    </row>
    <row r="127" spans="2:16" ht="12.5">
      <c r="B127" s="160" t="str">
        <f t="shared" si="23"/>
        <v/>
      </c>
      <c r="C127" s="473">
        <f>IF(D93="","-",+C126+1)</f>
        <v>2034</v>
      </c>
      <c r="D127" s="347">
        <f>IF(F126+SUM(E$99:E126)=D$92,F126,D$92-SUM(E$99:E126))</f>
        <v>155640</v>
      </c>
      <c r="E127" s="487">
        <f>IF(+J96&lt;F126,J96,D127)</f>
        <v>9017</v>
      </c>
      <c r="F127" s="486">
        <f t="shared" si="35"/>
        <v>146623</v>
      </c>
      <c r="G127" s="486">
        <f t="shared" si="36"/>
        <v>151131.5</v>
      </c>
      <c r="H127" s="487">
        <f t="shared" si="38"/>
        <v>26442.046448200956</v>
      </c>
      <c r="I127" s="543">
        <f t="shared" si="39"/>
        <v>26442.046448200956</v>
      </c>
      <c r="J127" s="479">
        <f t="shared" si="21"/>
        <v>0</v>
      </c>
      <c r="K127" s="479"/>
      <c r="L127" s="488"/>
      <c r="M127" s="479">
        <f t="shared" si="25"/>
        <v>0</v>
      </c>
      <c r="N127" s="488"/>
      <c r="O127" s="479">
        <f t="shared" si="27"/>
        <v>0</v>
      </c>
      <c r="P127" s="479">
        <f t="shared" si="22"/>
        <v>0</v>
      </c>
    </row>
    <row r="128" spans="2:16" ht="12.5">
      <c r="B128" s="160" t="str">
        <f t="shared" si="23"/>
        <v/>
      </c>
      <c r="C128" s="473">
        <f>IF(D93="","-",+C127+1)</f>
        <v>2035</v>
      </c>
      <c r="D128" s="347">
        <f>IF(F127+SUM(E$99:E127)=D$92,F127,D$92-SUM(E$99:E127))</f>
        <v>146623</v>
      </c>
      <c r="E128" s="487">
        <f>IF(+J96&lt;F127,J96,D128)</f>
        <v>9017</v>
      </c>
      <c r="F128" s="486">
        <f t="shared" si="35"/>
        <v>137606</v>
      </c>
      <c r="G128" s="486">
        <f t="shared" si="36"/>
        <v>142114.5</v>
      </c>
      <c r="H128" s="487">
        <f t="shared" si="38"/>
        <v>25402.41113839838</v>
      </c>
      <c r="I128" s="543">
        <f t="shared" si="39"/>
        <v>25402.41113839838</v>
      </c>
      <c r="J128" s="479">
        <f t="shared" si="21"/>
        <v>0</v>
      </c>
      <c r="K128" s="479"/>
      <c r="L128" s="488"/>
      <c r="M128" s="479">
        <f t="shared" si="25"/>
        <v>0</v>
      </c>
      <c r="N128" s="488"/>
      <c r="O128" s="479">
        <f t="shared" si="27"/>
        <v>0</v>
      </c>
      <c r="P128" s="479">
        <f t="shared" si="22"/>
        <v>0</v>
      </c>
    </row>
    <row r="129" spans="2:16" ht="12.5">
      <c r="B129" s="160" t="str">
        <f t="shared" si="23"/>
        <v/>
      </c>
      <c r="C129" s="473">
        <f>IF(D93="","-",+C128+1)</f>
        <v>2036</v>
      </c>
      <c r="D129" s="347">
        <f>IF(F128+SUM(E$99:E128)=D$92,F128,D$92-SUM(E$99:E128))</f>
        <v>137606</v>
      </c>
      <c r="E129" s="487">
        <f>IF(+J96&lt;F128,J96,D129)</f>
        <v>9017</v>
      </c>
      <c r="F129" s="486">
        <f t="shared" si="35"/>
        <v>128589</v>
      </c>
      <c r="G129" s="486">
        <f t="shared" si="36"/>
        <v>133097.5</v>
      </c>
      <c r="H129" s="487">
        <f t="shared" si="38"/>
        <v>24362.775828595804</v>
      </c>
      <c r="I129" s="543">
        <f t="shared" si="39"/>
        <v>24362.775828595804</v>
      </c>
      <c r="J129" s="479">
        <f t="shared" si="21"/>
        <v>0</v>
      </c>
      <c r="K129" s="479"/>
      <c r="L129" s="488"/>
      <c r="M129" s="479">
        <f t="shared" si="25"/>
        <v>0</v>
      </c>
      <c r="N129" s="488"/>
      <c r="O129" s="479">
        <f t="shared" si="27"/>
        <v>0</v>
      </c>
      <c r="P129" s="479">
        <f t="shared" si="22"/>
        <v>0</v>
      </c>
    </row>
    <row r="130" spans="2:16" ht="12.5">
      <c r="B130" s="160" t="str">
        <f t="shared" si="23"/>
        <v/>
      </c>
      <c r="C130" s="473">
        <f>IF(D93="","-",+C129+1)</f>
        <v>2037</v>
      </c>
      <c r="D130" s="347">
        <f>IF(F129+SUM(E$99:E129)=D$92,F129,D$92-SUM(E$99:E129))</f>
        <v>128589</v>
      </c>
      <c r="E130" s="487">
        <f>IF(+J96&lt;F129,J96,D130)</f>
        <v>9017</v>
      </c>
      <c r="F130" s="486">
        <f t="shared" si="35"/>
        <v>119572</v>
      </c>
      <c r="G130" s="486">
        <f t="shared" si="36"/>
        <v>124080.5</v>
      </c>
      <c r="H130" s="487">
        <f t="shared" si="38"/>
        <v>23323.140518793225</v>
      </c>
      <c r="I130" s="543">
        <f t="shared" si="39"/>
        <v>23323.140518793225</v>
      </c>
      <c r="J130" s="479">
        <f t="shared" si="21"/>
        <v>0</v>
      </c>
      <c r="K130" s="479"/>
      <c r="L130" s="488"/>
      <c r="M130" s="479">
        <f t="shared" si="25"/>
        <v>0</v>
      </c>
      <c r="N130" s="488"/>
      <c r="O130" s="479">
        <f t="shared" si="27"/>
        <v>0</v>
      </c>
      <c r="P130" s="479">
        <f t="shared" si="22"/>
        <v>0</v>
      </c>
    </row>
    <row r="131" spans="2:16" ht="12.5">
      <c r="B131" s="160" t="str">
        <f t="shared" si="23"/>
        <v/>
      </c>
      <c r="C131" s="473">
        <f>IF(D93="","-",+C130+1)</f>
        <v>2038</v>
      </c>
      <c r="D131" s="347">
        <f>IF(F130+SUM(E$99:E130)=D$92,F130,D$92-SUM(E$99:E130))</f>
        <v>119572</v>
      </c>
      <c r="E131" s="487">
        <f>IF(+J96&lt;F130,J96,D131)</f>
        <v>9017</v>
      </c>
      <c r="F131" s="486">
        <f t="shared" ref="F131:F154" si="40">+D131-E131</f>
        <v>110555</v>
      </c>
      <c r="G131" s="486">
        <f t="shared" ref="G131:G154" si="41">+(F131+D131)/2</f>
        <v>115063.5</v>
      </c>
      <c r="H131" s="487">
        <f t="shared" si="38"/>
        <v>22283.505208990653</v>
      </c>
      <c r="I131" s="543">
        <f t="shared" si="39"/>
        <v>22283.505208990653</v>
      </c>
      <c r="J131" s="479">
        <f t="shared" ref="J131:J154" si="42">+I131-H131</f>
        <v>0</v>
      </c>
      <c r="K131" s="479"/>
      <c r="L131" s="488"/>
      <c r="M131" s="479">
        <f t="shared" si="25"/>
        <v>0</v>
      </c>
      <c r="N131" s="488"/>
      <c r="O131" s="479">
        <f t="shared" si="27"/>
        <v>0</v>
      </c>
      <c r="P131" s="479">
        <f t="shared" ref="P131:P154" si="43">+O131-M131</f>
        <v>0</v>
      </c>
    </row>
    <row r="132" spans="2:16" ht="12.5">
      <c r="B132" s="160" t="str">
        <f t="shared" si="23"/>
        <v/>
      </c>
      <c r="C132" s="473">
        <f>IF(D93="","-",+C131+1)</f>
        <v>2039</v>
      </c>
      <c r="D132" s="347">
        <f>IF(F131+SUM(E$99:E131)=D$92,F131,D$92-SUM(E$99:E131))</f>
        <v>110555</v>
      </c>
      <c r="E132" s="487">
        <f>IF(+J96&lt;F131,J96,D132)</f>
        <v>9017</v>
      </c>
      <c r="F132" s="486">
        <f t="shared" si="40"/>
        <v>101538</v>
      </c>
      <c r="G132" s="486">
        <f t="shared" si="41"/>
        <v>106046.5</v>
      </c>
      <c r="H132" s="487">
        <f t="shared" si="38"/>
        <v>21243.869899188074</v>
      </c>
      <c r="I132" s="543">
        <f t="shared" si="39"/>
        <v>21243.869899188074</v>
      </c>
      <c r="J132" s="479">
        <f t="shared" si="42"/>
        <v>0</v>
      </c>
      <c r="K132" s="479"/>
      <c r="L132" s="488"/>
      <c r="M132" s="479">
        <f t="shared" si="25"/>
        <v>0</v>
      </c>
      <c r="N132" s="488"/>
      <c r="O132" s="479">
        <f t="shared" si="27"/>
        <v>0</v>
      </c>
      <c r="P132" s="479">
        <f t="shared" si="43"/>
        <v>0</v>
      </c>
    </row>
    <row r="133" spans="2:16" ht="12.5">
      <c r="B133" s="160" t="str">
        <f t="shared" si="23"/>
        <v/>
      </c>
      <c r="C133" s="473">
        <f>IF(D93="","-",+C132+1)</f>
        <v>2040</v>
      </c>
      <c r="D133" s="347">
        <f>IF(F132+SUM(E$99:E132)=D$92,F132,D$92-SUM(E$99:E132))</f>
        <v>101538</v>
      </c>
      <c r="E133" s="487">
        <f>IF(+J96&lt;F132,J96,D133)</f>
        <v>9017</v>
      </c>
      <c r="F133" s="486">
        <f t="shared" si="40"/>
        <v>92521</v>
      </c>
      <c r="G133" s="486">
        <f t="shared" si="41"/>
        <v>97029.5</v>
      </c>
      <c r="H133" s="487">
        <f t="shared" si="38"/>
        <v>20204.234589385502</v>
      </c>
      <c r="I133" s="543">
        <f t="shared" si="39"/>
        <v>20204.234589385502</v>
      </c>
      <c r="J133" s="479">
        <f t="shared" si="42"/>
        <v>0</v>
      </c>
      <c r="K133" s="479"/>
      <c r="L133" s="488"/>
      <c r="M133" s="479">
        <f t="shared" si="25"/>
        <v>0</v>
      </c>
      <c r="N133" s="488"/>
      <c r="O133" s="479">
        <f t="shared" si="27"/>
        <v>0</v>
      </c>
      <c r="P133" s="479">
        <f t="shared" si="43"/>
        <v>0</v>
      </c>
    </row>
    <row r="134" spans="2:16" ht="12.5">
      <c r="B134" s="160" t="str">
        <f t="shared" si="23"/>
        <v/>
      </c>
      <c r="C134" s="473">
        <f>IF(D93="","-",+C133+1)</f>
        <v>2041</v>
      </c>
      <c r="D134" s="347">
        <f>IF(F133+SUM(E$99:E133)=D$92,F133,D$92-SUM(E$99:E133))</f>
        <v>92521</v>
      </c>
      <c r="E134" s="487">
        <f>IF(+J96&lt;F133,J96,D134)</f>
        <v>9017</v>
      </c>
      <c r="F134" s="486">
        <f t="shared" si="40"/>
        <v>83504</v>
      </c>
      <c r="G134" s="486">
        <f t="shared" si="41"/>
        <v>88012.5</v>
      </c>
      <c r="H134" s="487">
        <f t="shared" si="38"/>
        <v>19164.599279582922</v>
      </c>
      <c r="I134" s="543">
        <f t="shared" si="39"/>
        <v>19164.599279582922</v>
      </c>
      <c r="J134" s="479">
        <f t="shared" si="42"/>
        <v>0</v>
      </c>
      <c r="K134" s="479"/>
      <c r="L134" s="488"/>
      <c r="M134" s="479">
        <f t="shared" ref="M134:M154" si="44">IF(L134&lt;&gt;0,+H134-L134,0)</f>
        <v>0</v>
      </c>
      <c r="N134" s="488"/>
      <c r="O134" s="479">
        <f t="shared" ref="O134:O154" si="45">IF(N134&lt;&gt;0,+I134-N134,0)</f>
        <v>0</v>
      </c>
      <c r="P134" s="479">
        <f t="shared" si="43"/>
        <v>0</v>
      </c>
    </row>
    <row r="135" spans="2:16" ht="12.5">
      <c r="B135" s="160" t="str">
        <f t="shared" si="23"/>
        <v/>
      </c>
      <c r="C135" s="473">
        <f>IF(D93="","-",+C134+1)</f>
        <v>2042</v>
      </c>
      <c r="D135" s="347">
        <f>IF(F134+SUM(E$99:E134)=D$92,F134,D$92-SUM(E$99:E134))</f>
        <v>83504</v>
      </c>
      <c r="E135" s="487">
        <f>IF(+J96&lt;F134,J96,D135)</f>
        <v>9017</v>
      </c>
      <c r="F135" s="486">
        <f t="shared" si="40"/>
        <v>74487</v>
      </c>
      <c r="G135" s="486">
        <f t="shared" si="41"/>
        <v>78995.5</v>
      </c>
      <c r="H135" s="487">
        <f t="shared" si="38"/>
        <v>18124.963969780347</v>
      </c>
      <c r="I135" s="543">
        <f t="shared" si="39"/>
        <v>18124.963969780347</v>
      </c>
      <c r="J135" s="479">
        <f t="shared" si="42"/>
        <v>0</v>
      </c>
      <c r="K135" s="479"/>
      <c r="L135" s="488"/>
      <c r="M135" s="479">
        <f t="shared" si="44"/>
        <v>0</v>
      </c>
      <c r="N135" s="488"/>
      <c r="O135" s="479">
        <f t="shared" si="45"/>
        <v>0</v>
      </c>
      <c r="P135" s="479">
        <f t="shared" si="43"/>
        <v>0</v>
      </c>
    </row>
    <row r="136" spans="2:16" ht="12.5">
      <c r="B136" s="160" t="str">
        <f t="shared" si="23"/>
        <v/>
      </c>
      <c r="C136" s="473">
        <f>IF(D93="","-",+C135+1)</f>
        <v>2043</v>
      </c>
      <c r="D136" s="347">
        <f>IF(F135+SUM(E$99:E135)=D$92,F135,D$92-SUM(E$99:E135))</f>
        <v>74487</v>
      </c>
      <c r="E136" s="487">
        <f>IF(+J96&lt;F135,J96,D136)</f>
        <v>9017</v>
      </c>
      <c r="F136" s="486">
        <f t="shared" si="40"/>
        <v>65470</v>
      </c>
      <c r="G136" s="486">
        <f t="shared" si="41"/>
        <v>69978.5</v>
      </c>
      <c r="H136" s="487">
        <f t="shared" si="38"/>
        <v>17085.328659977771</v>
      </c>
      <c r="I136" s="543">
        <f t="shared" si="39"/>
        <v>17085.328659977771</v>
      </c>
      <c r="J136" s="479">
        <f t="shared" si="42"/>
        <v>0</v>
      </c>
      <c r="K136" s="479"/>
      <c r="L136" s="488"/>
      <c r="M136" s="479">
        <f t="shared" si="44"/>
        <v>0</v>
      </c>
      <c r="N136" s="488"/>
      <c r="O136" s="479">
        <f t="shared" si="45"/>
        <v>0</v>
      </c>
      <c r="P136" s="479">
        <f t="shared" si="43"/>
        <v>0</v>
      </c>
    </row>
    <row r="137" spans="2:16" ht="12.5">
      <c r="B137" s="160" t="str">
        <f t="shared" si="23"/>
        <v/>
      </c>
      <c r="C137" s="473">
        <f>IF(D93="","-",+C136+1)</f>
        <v>2044</v>
      </c>
      <c r="D137" s="347">
        <f>IF(F136+SUM(E$99:E136)=D$92,F136,D$92-SUM(E$99:E136))</f>
        <v>65470</v>
      </c>
      <c r="E137" s="487">
        <f>IF(+J96&lt;F136,J96,D137)</f>
        <v>9017</v>
      </c>
      <c r="F137" s="486">
        <f t="shared" si="40"/>
        <v>56453</v>
      </c>
      <c r="G137" s="486">
        <f t="shared" si="41"/>
        <v>60961.5</v>
      </c>
      <c r="H137" s="487">
        <f t="shared" si="38"/>
        <v>16045.693350175196</v>
      </c>
      <c r="I137" s="543">
        <f t="shared" si="39"/>
        <v>16045.693350175196</v>
      </c>
      <c r="J137" s="479">
        <f t="shared" si="42"/>
        <v>0</v>
      </c>
      <c r="K137" s="479"/>
      <c r="L137" s="488"/>
      <c r="M137" s="479">
        <f t="shared" si="44"/>
        <v>0</v>
      </c>
      <c r="N137" s="488"/>
      <c r="O137" s="479">
        <f t="shared" si="45"/>
        <v>0</v>
      </c>
      <c r="P137" s="479">
        <f t="shared" si="43"/>
        <v>0</v>
      </c>
    </row>
    <row r="138" spans="2:16" ht="12.5">
      <c r="B138" s="160" t="str">
        <f t="shared" si="23"/>
        <v/>
      </c>
      <c r="C138" s="473">
        <f>IF(D93="","-",+C137+1)</f>
        <v>2045</v>
      </c>
      <c r="D138" s="347">
        <f>IF(F137+SUM(E$99:E137)=D$92,F137,D$92-SUM(E$99:E137))</f>
        <v>56453</v>
      </c>
      <c r="E138" s="487">
        <f>IF(+J96&lt;F137,J96,D138)</f>
        <v>9017</v>
      </c>
      <c r="F138" s="486">
        <f t="shared" si="40"/>
        <v>47436</v>
      </c>
      <c r="G138" s="486">
        <f t="shared" si="41"/>
        <v>51944.5</v>
      </c>
      <c r="H138" s="487">
        <f t="shared" si="38"/>
        <v>15006.05804037262</v>
      </c>
      <c r="I138" s="543">
        <f t="shared" si="39"/>
        <v>15006.05804037262</v>
      </c>
      <c r="J138" s="479">
        <f t="shared" si="42"/>
        <v>0</v>
      </c>
      <c r="K138" s="479"/>
      <c r="L138" s="488"/>
      <c r="M138" s="479">
        <f t="shared" si="44"/>
        <v>0</v>
      </c>
      <c r="N138" s="488"/>
      <c r="O138" s="479">
        <f t="shared" si="45"/>
        <v>0</v>
      </c>
      <c r="P138" s="479">
        <f t="shared" si="43"/>
        <v>0</v>
      </c>
    </row>
    <row r="139" spans="2:16" ht="12.5">
      <c r="B139" s="160" t="str">
        <f t="shared" si="23"/>
        <v/>
      </c>
      <c r="C139" s="473">
        <f>IF(D93="","-",+C138+1)</f>
        <v>2046</v>
      </c>
      <c r="D139" s="347">
        <f>IF(F138+SUM(E$99:E138)=D$92,F138,D$92-SUM(E$99:E138))</f>
        <v>47436</v>
      </c>
      <c r="E139" s="487">
        <f>IF(+J96&lt;F138,J96,D139)</f>
        <v>9017</v>
      </c>
      <c r="F139" s="486">
        <f t="shared" si="40"/>
        <v>38419</v>
      </c>
      <c r="G139" s="486">
        <f t="shared" si="41"/>
        <v>42927.5</v>
      </c>
      <c r="H139" s="487">
        <f t="shared" si="38"/>
        <v>13966.422730570044</v>
      </c>
      <c r="I139" s="543">
        <f t="shared" si="39"/>
        <v>13966.422730570044</v>
      </c>
      <c r="J139" s="479">
        <f t="shared" si="42"/>
        <v>0</v>
      </c>
      <c r="K139" s="479"/>
      <c r="L139" s="488"/>
      <c r="M139" s="479">
        <f t="shared" si="44"/>
        <v>0</v>
      </c>
      <c r="N139" s="488"/>
      <c r="O139" s="479">
        <f t="shared" si="45"/>
        <v>0</v>
      </c>
      <c r="P139" s="479">
        <f t="shared" si="43"/>
        <v>0</v>
      </c>
    </row>
    <row r="140" spans="2:16" ht="12.5">
      <c r="B140" s="160" t="str">
        <f t="shared" si="23"/>
        <v/>
      </c>
      <c r="C140" s="473">
        <f>IF(D93="","-",+C139+1)</f>
        <v>2047</v>
      </c>
      <c r="D140" s="347">
        <f>IF(F139+SUM(E$99:E139)=D$92,F139,D$92-SUM(E$99:E139))</f>
        <v>38419</v>
      </c>
      <c r="E140" s="487">
        <f>IF(+J96&lt;F139,J96,D140)</f>
        <v>9017</v>
      </c>
      <c r="F140" s="486">
        <f t="shared" si="40"/>
        <v>29402</v>
      </c>
      <c r="G140" s="486">
        <f t="shared" si="41"/>
        <v>33910.5</v>
      </c>
      <c r="H140" s="487">
        <f t="shared" si="38"/>
        <v>12926.787420767469</v>
      </c>
      <c r="I140" s="543">
        <f t="shared" si="39"/>
        <v>12926.787420767469</v>
      </c>
      <c r="J140" s="479">
        <f t="shared" si="42"/>
        <v>0</v>
      </c>
      <c r="K140" s="479"/>
      <c r="L140" s="488"/>
      <c r="M140" s="479">
        <f t="shared" si="44"/>
        <v>0</v>
      </c>
      <c r="N140" s="488"/>
      <c r="O140" s="479">
        <f t="shared" si="45"/>
        <v>0</v>
      </c>
      <c r="P140" s="479">
        <f t="shared" si="43"/>
        <v>0</v>
      </c>
    </row>
    <row r="141" spans="2:16" ht="12.5">
      <c r="B141" s="160" t="str">
        <f t="shared" si="23"/>
        <v/>
      </c>
      <c r="C141" s="473">
        <f>IF(D93="","-",+C140+1)</f>
        <v>2048</v>
      </c>
      <c r="D141" s="347">
        <f>IF(F140+SUM(E$99:E140)=D$92,F140,D$92-SUM(E$99:E140))</f>
        <v>29402</v>
      </c>
      <c r="E141" s="487">
        <f>IF(+J96&lt;F140,J96,D141)</f>
        <v>9017</v>
      </c>
      <c r="F141" s="486">
        <f t="shared" si="40"/>
        <v>20385</v>
      </c>
      <c r="G141" s="486">
        <f t="shared" si="41"/>
        <v>24893.5</v>
      </c>
      <c r="H141" s="487">
        <f t="shared" si="38"/>
        <v>11887.152110964891</v>
      </c>
      <c r="I141" s="543">
        <f t="shared" si="39"/>
        <v>11887.152110964891</v>
      </c>
      <c r="J141" s="479">
        <f t="shared" si="42"/>
        <v>0</v>
      </c>
      <c r="K141" s="479"/>
      <c r="L141" s="488"/>
      <c r="M141" s="479">
        <f t="shared" si="44"/>
        <v>0</v>
      </c>
      <c r="N141" s="488"/>
      <c r="O141" s="479">
        <f t="shared" si="45"/>
        <v>0</v>
      </c>
      <c r="P141" s="479">
        <f t="shared" si="43"/>
        <v>0</v>
      </c>
    </row>
    <row r="142" spans="2:16" ht="12.5">
      <c r="B142" s="160" t="str">
        <f t="shared" si="23"/>
        <v/>
      </c>
      <c r="C142" s="473">
        <f>IF(D93="","-",+C141+1)</f>
        <v>2049</v>
      </c>
      <c r="D142" s="347">
        <f>IF(F141+SUM(E$99:E141)=D$92,F141,D$92-SUM(E$99:E141))</f>
        <v>20385</v>
      </c>
      <c r="E142" s="487">
        <f>IF(+J96&lt;F141,J96,D142)</f>
        <v>9017</v>
      </c>
      <c r="F142" s="486">
        <f t="shared" si="40"/>
        <v>11368</v>
      </c>
      <c r="G142" s="486">
        <f t="shared" si="41"/>
        <v>15876.5</v>
      </c>
      <c r="H142" s="487">
        <f t="shared" si="38"/>
        <v>10847.516801162315</v>
      </c>
      <c r="I142" s="543">
        <f t="shared" si="39"/>
        <v>10847.516801162315</v>
      </c>
      <c r="J142" s="479">
        <f t="shared" si="42"/>
        <v>0</v>
      </c>
      <c r="K142" s="479"/>
      <c r="L142" s="488"/>
      <c r="M142" s="479">
        <f t="shared" si="44"/>
        <v>0</v>
      </c>
      <c r="N142" s="488"/>
      <c r="O142" s="479">
        <f t="shared" si="45"/>
        <v>0</v>
      </c>
      <c r="P142" s="479">
        <f t="shared" si="43"/>
        <v>0</v>
      </c>
    </row>
    <row r="143" spans="2:16" ht="12.5">
      <c r="B143" s="160" t="str">
        <f t="shared" si="23"/>
        <v/>
      </c>
      <c r="C143" s="473">
        <f>IF(D93="","-",+C142+1)</f>
        <v>2050</v>
      </c>
      <c r="D143" s="347">
        <f>IF(F142+SUM(E$99:E142)=D$92,F142,D$92-SUM(E$99:E142))</f>
        <v>11368</v>
      </c>
      <c r="E143" s="487">
        <f>IF(+J96&lt;F142,J96,D143)</f>
        <v>9017</v>
      </c>
      <c r="F143" s="486">
        <f t="shared" si="40"/>
        <v>2351</v>
      </c>
      <c r="G143" s="486">
        <f t="shared" si="41"/>
        <v>6859.5</v>
      </c>
      <c r="H143" s="487">
        <f t="shared" si="38"/>
        <v>9807.8814913597398</v>
      </c>
      <c r="I143" s="543">
        <f t="shared" si="39"/>
        <v>9807.8814913597398</v>
      </c>
      <c r="J143" s="479">
        <f t="shared" si="42"/>
        <v>0</v>
      </c>
      <c r="K143" s="479"/>
      <c r="L143" s="488"/>
      <c r="M143" s="479">
        <f t="shared" si="44"/>
        <v>0</v>
      </c>
      <c r="N143" s="488"/>
      <c r="O143" s="479">
        <f t="shared" si="45"/>
        <v>0</v>
      </c>
      <c r="P143" s="479">
        <f t="shared" si="43"/>
        <v>0</v>
      </c>
    </row>
    <row r="144" spans="2:16" ht="12.5">
      <c r="B144" s="160" t="str">
        <f t="shared" si="23"/>
        <v/>
      </c>
      <c r="C144" s="473">
        <f>IF(D93="","-",+C143+1)</f>
        <v>2051</v>
      </c>
      <c r="D144" s="347">
        <f>IF(F143+SUM(E$99:E143)=D$92,F143,D$92-SUM(E$99:E143))</f>
        <v>2351</v>
      </c>
      <c r="E144" s="487">
        <f>IF(+J96&lt;F143,J96,D144)</f>
        <v>2351</v>
      </c>
      <c r="F144" s="486">
        <f t="shared" si="40"/>
        <v>0</v>
      </c>
      <c r="G144" s="486">
        <f t="shared" si="41"/>
        <v>1175.5</v>
      </c>
      <c r="H144" s="487">
        <f t="shared" si="38"/>
        <v>2486.5319182292255</v>
      </c>
      <c r="I144" s="543">
        <f t="shared" si="39"/>
        <v>2486.5319182292255</v>
      </c>
      <c r="J144" s="479">
        <f t="shared" si="42"/>
        <v>0</v>
      </c>
      <c r="K144" s="479"/>
      <c r="L144" s="488"/>
      <c r="M144" s="479">
        <f t="shared" si="44"/>
        <v>0</v>
      </c>
      <c r="N144" s="488"/>
      <c r="O144" s="479">
        <f t="shared" si="45"/>
        <v>0</v>
      </c>
      <c r="P144" s="479">
        <f t="shared" si="43"/>
        <v>0</v>
      </c>
    </row>
    <row r="145" spans="2:16" ht="12.5">
      <c r="B145" s="160" t="str">
        <f t="shared" si="23"/>
        <v/>
      </c>
      <c r="C145" s="473">
        <f>IF(D93="","-",+C144+1)</f>
        <v>2052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40"/>
        <v>0</v>
      </c>
      <c r="G145" s="486">
        <f t="shared" si="41"/>
        <v>0</v>
      </c>
      <c r="H145" s="487">
        <f t="shared" si="38"/>
        <v>0</v>
      </c>
      <c r="I145" s="543">
        <f t="shared" si="39"/>
        <v>0</v>
      </c>
      <c r="J145" s="479">
        <f t="shared" si="42"/>
        <v>0</v>
      </c>
      <c r="K145" s="479"/>
      <c r="L145" s="488"/>
      <c r="M145" s="479">
        <f t="shared" si="44"/>
        <v>0</v>
      </c>
      <c r="N145" s="488"/>
      <c r="O145" s="479">
        <f t="shared" si="45"/>
        <v>0</v>
      </c>
      <c r="P145" s="479">
        <f t="shared" si="43"/>
        <v>0</v>
      </c>
    </row>
    <row r="146" spans="2:16" ht="12.5">
      <c r="B146" s="160" t="str">
        <f t="shared" si="23"/>
        <v/>
      </c>
      <c r="C146" s="473">
        <f>IF(D93="","-",+C145+1)</f>
        <v>2053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40"/>
        <v>0</v>
      </c>
      <c r="G146" s="486">
        <f t="shared" si="41"/>
        <v>0</v>
      </c>
      <c r="H146" s="487">
        <f t="shared" si="38"/>
        <v>0</v>
      </c>
      <c r="I146" s="543">
        <f t="shared" si="39"/>
        <v>0</v>
      </c>
      <c r="J146" s="479">
        <f t="shared" si="42"/>
        <v>0</v>
      </c>
      <c r="K146" s="479"/>
      <c r="L146" s="488"/>
      <c r="M146" s="479">
        <f t="shared" si="44"/>
        <v>0</v>
      </c>
      <c r="N146" s="488"/>
      <c r="O146" s="479">
        <f t="shared" si="45"/>
        <v>0</v>
      </c>
      <c r="P146" s="479">
        <f t="shared" si="43"/>
        <v>0</v>
      </c>
    </row>
    <row r="147" spans="2:16" ht="12.5">
      <c r="B147" s="160" t="str">
        <f t="shared" si="23"/>
        <v/>
      </c>
      <c r="C147" s="473">
        <f>IF(D93="","-",+C146+1)</f>
        <v>2054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40"/>
        <v>0</v>
      </c>
      <c r="G147" s="486">
        <f t="shared" si="41"/>
        <v>0</v>
      </c>
      <c r="H147" s="487">
        <f t="shared" si="38"/>
        <v>0</v>
      </c>
      <c r="I147" s="543">
        <f t="shared" si="39"/>
        <v>0</v>
      </c>
      <c r="J147" s="479">
        <f t="shared" si="42"/>
        <v>0</v>
      </c>
      <c r="K147" s="479"/>
      <c r="L147" s="488"/>
      <c r="M147" s="479">
        <f t="shared" si="44"/>
        <v>0</v>
      </c>
      <c r="N147" s="488"/>
      <c r="O147" s="479">
        <f t="shared" si="45"/>
        <v>0</v>
      </c>
      <c r="P147" s="479">
        <f t="shared" si="43"/>
        <v>0</v>
      </c>
    </row>
    <row r="148" spans="2:16" ht="12.5">
      <c r="B148" s="160" t="str">
        <f t="shared" si="23"/>
        <v/>
      </c>
      <c r="C148" s="473">
        <f>IF(D93="","-",+C147+1)</f>
        <v>2055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40"/>
        <v>0</v>
      </c>
      <c r="G148" s="486">
        <f t="shared" si="41"/>
        <v>0</v>
      </c>
      <c r="H148" s="487">
        <f t="shared" si="38"/>
        <v>0</v>
      </c>
      <c r="I148" s="543">
        <f t="shared" si="39"/>
        <v>0</v>
      </c>
      <c r="J148" s="479">
        <f t="shared" si="42"/>
        <v>0</v>
      </c>
      <c r="K148" s="479"/>
      <c r="L148" s="488"/>
      <c r="M148" s="479">
        <f t="shared" si="44"/>
        <v>0</v>
      </c>
      <c r="N148" s="488"/>
      <c r="O148" s="479">
        <f t="shared" si="45"/>
        <v>0</v>
      </c>
      <c r="P148" s="479">
        <f t="shared" si="43"/>
        <v>0</v>
      </c>
    </row>
    <row r="149" spans="2:16" ht="12.5">
      <c r="B149" s="160" t="str">
        <f t="shared" si="23"/>
        <v/>
      </c>
      <c r="C149" s="473">
        <f>IF(D93="","-",+C148+1)</f>
        <v>2056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40"/>
        <v>0</v>
      </c>
      <c r="G149" s="486">
        <f t="shared" si="41"/>
        <v>0</v>
      </c>
      <c r="H149" s="487">
        <f t="shared" si="38"/>
        <v>0</v>
      </c>
      <c r="I149" s="543">
        <f t="shared" si="39"/>
        <v>0</v>
      </c>
      <c r="J149" s="479">
        <f t="shared" si="42"/>
        <v>0</v>
      </c>
      <c r="K149" s="479"/>
      <c r="L149" s="488"/>
      <c r="M149" s="479">
        <f t="shared" si="44"/>
        <v>0</v>
      </c>
      <c r="N149" s="488"/>
      <c r="O149" s="479">
        <f t="shared" si="45"/>
        <v>0</v>
      </c>
      <c r="P149" s="479">
        <f t="shared" si="43"/>
        <v>0</v>
      </c>
    </row>
    <row r="150" spans="2:16" ht="12.5">
      <c r="B150" s="160" t="str">
        <f t="shared" si="23"/>
        <v/>
      </c>
      <c r="C150" s="473">
        <f>IF(D93="","-",+C149+1)</f>
        <v>2057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40"/>
        <v>0</v>
      </c>
      <c r="G150" s="486">
        <f t="shared" si="41"/>
        <v>0</v>
      </c>
      <c r="H150" s="487">
        <f t="shared" si="38"/>
        <v>0</v>
      </c>
      <c r="I150" s="543">
        <f t="shared" si="39"/>
        <v>0</v>
      </c>
      <c r="J150" s="479">
        <f t="shared" si="42"/>
        <v>0</v>
      </c>
      <c r="K150" s="479"/>
      <c r="L150" s="488"/>
      <c r="M150" s="479">
        <f t="shared" si="44"/>
        <v>0</v>
      </c>
      <c r="N150" s="488"/>
      <c r="O150" s="479">
        <f t="shared" si="45"/>
        <v>0</v>
      </c>
      <c r="P150" s="479">
        <f t="shared" si="43"/>
        <v>0</v>
      </c>
    </row>
    <row r="151" spans="2:16" ht="12.5">
      <c r="B151" s="160" t="str">
        <f t="shared" si="23"/>
        <v/>
      </c>
      <c r="C151" s="473">
        <f>IF(D93="","-",+C150+1)</f>
        <v>2058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40"/>
        <v>0</v>
      </c>
      <c r="G151" s="486">
        <f t="shared" si="41"/>
        <v>0</v>
      </c>
      <c r="H151" s="487">
        <f t="shared" si="38"/>
        <v>0</v>
      </c>
      <c r="I151" s="543">
        <f t="shared" si="39"/>
        <v>0</v>
      </c>
      <c r="J151" s="479">
        <f t="shared" si="42"/>
        <v>0</v>
      </c>
      <c r="K151" s="479"/>
      <c r="L151" s="488"/>
      <c r="M151" s="479">
        <f t="shared" si="44"/>
        <v>0</v>
      </c>
      <c r="N151" s="488"/>
      <c r="O151" s="479">
        <f t="shared" si="45"/>
        <v>0</v>
      </c>
      <c r="P151" s="479">
        <f t="shared" si="43"/>
        <v>0</v>
      </c>
    </row>
    <row r="152" spans="2:16" ht="12.5">
      <c r="B152" s="160" t="str">
        <f t="shared" si="23"/>
        <v/>
      </c>
      <c r="C152" s="473">
        <f>IF(D93="","-",+C151+1)</f>
        <v>2059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40"/>
        <v>0</v>
      </c>
      <c r="G152" s="486">
        <f t="shared" si="41"/>
        <v>0</v>
      </c>
      <c r="H152" s="487">
        <f t="shared" si="38"/>
        <v>0</v>
      </c>
      <c r="I152" s="543">
        <f t="shared" si="39"/>
        <v>0</v>
      </c>
      <c r="J152" s="479">
        <f t="shared" si="42"/>
        <v>0</v>
      </c>
      <c r="K152" s="479"/>
      <c r="L152" s="488"/>
      <c r="M152" s="479">
        <f t="shared" si="44"/>
        <v>0</v>
      </c>
      <c r="N152" s="488"/>
      <c r="O152" s="479">
        <f t="shared" si="45"/>
        <v>0</v>
      </c>
      <c r="P152" s="479">
        <f t="shared" si="43"/>
        <v>0</v>
      </c>
    </row>
    <row r="153" spans="2:16" ht="12.5">
      <c r="B153" s="160" t="str">
        <f t="shared" si="23"/>
        <v/>
      </c>
      <c r="C153" s="473">
        <f>IF(D93="","-",+C152+1)</f>
        <v>2060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40"/>
        <v>0</v>
      </c>
      <c r="G153" s="486">
        <f t="shared" si="41"/>
        <v>0</v>
      </c>
      <c r="H153" s="487">
        <f t="shared" si="38"/>
        <v>0</v>
      </c>
      <c r="I153" s="543">
        <f t="shared" si="39"/>
        <v>0</v>
      </c>
      <c r="J153" s="479">
        <f t="shared" si="42"/>
        <v>0</v>
      </c>
      <c r="K153" s="479"/>
      <c r="L153" s="488"/>
      <c r="M153" s="479">
        <f t="shared" si="44"/>
        <v>0</v>
      </c>
      <c r="N153" s="488"/>
      <c r="O153" s="479">
        <f t="shared" si="45"/>
        <v>0</v>
      </c>
      <c r="P153" s="479">
        <f t="shared" si="43"/>
        <v>0</v>
      </c>
    </row>
    <row r="154" spans="2:16" ht="13" thickBot="1">
      <c r="B154" s="160" t="str">
        <f t="shared" si="23"/>
        <v/>
      </c>
      <c r="C154" s="490">
        <f>IF(D93="","-",+C153+1)</f>
        <v>2061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40"/>
        <v>0</v>
      </c>
      <c r="G154" s="491">
        <f t="shared" si="41"/>
        <v>0</v>
      </c>
      <c r="H154" s="493">
        <f t="shared" ref="H154" si="46">+J$94*G154+E154</f>
        <v>0</v>
      </c>
      <c r="I154" s="546">
        <f t="shared" ref="I154" si="47">+J$95*G154+E154</f>
        <v>0</v>
      </c>
      <c r="J154" s="496">
        <f t="shared" si="42"/>
        <v>0</v>
      </c>
      <c r="K154" s="479"/>
      <c r="L154" s="495"/>
      <c r="M154" s="496">
        <f t="shared" si="44"/>
        <v>0</v>
      </c>
      <c r="N154" s="495"/>
      <c r="O154" s="496">
        <f t="shared" si="45"/>
        <v>0</v>
      </c>
      <c r="P154" s="496">
        <f t="shared" si="43"/>
        <v>0</v>
      </c>
    </row>
    <row r="155" spans="2:16" ht="12.5">
      <c r="C155" s="347" t="s">
        <v>77</v>
      </c>
      <c r="D155" s="348"/>
      <c r="E155" s="348">
        <f>SUM(E99:E154)</f>
        <v>387742</v>
      </c>
      <c r="F155" s="348"/>
      <c r="G155" s="348"/>
      <c r="H155" s="348">
        <f>SUM(H99:H154)</f>
        <v>1496850.4243722968</v>
      </c>
      <c r="I155" s="348">
        <f>SUM(I99:I154)</f>
        <v>1496850.4243722968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/>
  <dimension ref="A1:P162"/>
  <sheetViews>
    <sheetView view="pageBreakPreview" topLeftCell="B103" zoomScale="75" zoomScaleNormal="100" workbookViewId="0">
      <selection activeCell="H111" sqref="H111:I111"/>
    </sheetView>
  </sheetViews>
  <sheetFormatPr defaultColWidth="8.7265625" defaultRowHeight="12.75" customHeight="1"/>
  <cols>
    <col min="1" max="1" width="4.7265625" style="148" customWidth="1"/>
    <col min="2" max="2" width="6.7265625" style="148" customWidth="1"/>
    <col min="3" max="3" width="23.26953125" style="148" customWidth="1"/>
    <col min="4" max="8" width="17.7265625" style="148" customWidth="1"/>
    <col min="9" max="9" width="20.453125" style="148" customWidth="1"/>
    <col min="10" max="10" width="16.453125" style="148" customWidth="1"/>
    <col min="11" max="11" width="17.7265625" style="148" customWidth="1"/>
    <col min="12" max="12" width="16.1796875" style="148" customWidth="1"/>
    <col min="13" max="13" width="17.7265625" style="148" customWidth="1"/>
    <col min="14" max="14" width="16.7265625" style="148" customWidth="1"/>
    <col min="15" max="15" width="16.81640625" style="148" customWidth="1"/>
    <col min="16" max="16" width="24.453125" style="148" customWidth="1"/>
    <col min="17" max="17" width="9.1796875" style="148" customWidth="1"/>
    <col min="18" max="22" width="8.7265625" style="148"/>
    <col min="23" max="23" width="9.1796875" style="148" customWidth="1"/>
    <col min="24" max="16384" width="8.7265625" style="148"/>
  </cols>
  <sheetData>
    <row r="1" spans="1:16" ht="20">
      <c r="A1" s="416" t="s">
        <v>147</v>
      </c>
      <c r="B1" s="233"/>
      <c r="C1" s="312"/>
      <c r="D1" s="241"/>
      <c r="E1" s="233"/>
      <c r="F1" s="339"/>
      <c r="G1" s="233"/>
      <c r="H1" s="242"/>
      <c r="J1" s="195"/>
      <c r="K1" s="417"/>
      <c r="L1" s="417"/>
      <c r="M1" s="417"/>
      <c r="P1" s="418" t="str">
        <f ca="1">"PSO Project "&amp;RIGHT(MID(CELL("filename",$A$1),FIND("]",CELL("filename",$A$1))+1,256),1)&amp;" of "&amp;COUNT('P.001:P.xyz - blank'!$P$3)-1</f>
        <v>PSO Project 6 of 28</v>
      </c>
    </row>
    <row r="2" spans="1:16" ht="17.5">
      <c r="B2" s="233"/>
      <c r="C2" s="233"/>
      <c r="D2" s="241"/>
      <c r="E2" s="233"/>
      <c r="F2" s="233"/>
      <c r="G2" s="233"/>
      <c r="H2" s="242"/>
      <c r="I2" s="233"/>
      <c r="J2" s="243"/>
      <c r="K2" s="233"/>
      <c r="L2" s="233"/>
      <c r="M2" s="233"/>
      <c r="N2" s="233"/>
      <c r="P2" s="419" t="s">
        <v>150</v>
      </c>
    </row>
    <row r="3" spans="1:16" ht="18">
      <c r="B3" s="303" t="s">
        <v>42</v>
      </c>
      <c r="C3" s="304" t="s">
        <v>43</v>
      </c>
      <c r="D3" s="241"/>
      <c r="E3" s="233"/>
      <c r="F3" s="233"/>
      <c r="G3" s="233"/>
      <c r="H3" s="242"/>
      <c r="I3" s="242"/>
      <c r="J3" s="348"/>
      <c r="K3" s="242"/>
      <c r="L3" s="242"/>
      <c r="M3" s="242"/>
      <c r="N3" s="242"/>
      <c r="O3" s="233"/>
      <c r="P3" s="550">
        <v>1</v>
      </c>
    </row>
    <row r="4" spans="1:16" ht="16" thickBot="1">
      <c r="C4" s="302"/>
      <c r="D4" s="241"/>
      <c r="E4" s="233"/>
      <c r="F4" s="233"/>
      <c r="G4" s="233"/>
      <c r="H4" s="242"/>
      <c r="I4" s="242"/>
      <c r="J4" s="348"/>
      <c r="K4" s="242"/>
      <c r="L4" s="242"/>
      <c r="M4" s="242"/>
      <c r="N4" s="242"/>
      <c r="O4" s="233"/>
      <c r="P4" s="233"/>
    </row>
    <row r="5" spans="1:16" ht="15.5">
      <c r="C5" s="421" t="s">
        <v>44</v>
      </c>
      <c r="D5" s="241"/>
      <c r="E5" s="233"/>
      <c r="F5" s="233"/>
      <c r="G5" s="422"/>
      <c r="H5" s="233" t="s">
        <v>45</v>
      </c>
      <c r="I5" s="233"/>
      <c r="J5" s="243"/>
      <c r="K5" s="423" t="s">
        <v>284</v>
      </c>
      <c r="L5" s="424"/>
      <c r="M5" s="425"/>
      <c r="N5" s="426">
        <f>VLOOKUP(I10,C17:I72,5)</f>
        <v>160493.01101346352</v>
      </c>
      <c r="P5" s="233"/>
    </row>
    <row r="6" spans="1:16" ht="15.5">
      <c r="C6" s="245"/>
      <c r="D6" s="241"/>
      <c r="E6" s="233"/>
      <c r="F6" s="233"/>
      <c r="G6" s="233"/>
      <c r="H6" s="427"/>
      <c r="I6" s="427"/>
      <c r="J6" s="428"/>
      <c r="K6" s="429" t="s">
        <v>285</v>
      </c>
      <c r="L6" s="430"/>
      <c r="M6" s="243"/>
      <c r="N6" s="431">
        <f>VLOOKUP(I10,C17:I72,6)</f>
        <v>160493.01101346352</v>
      </c>
      <c r="O6" s="233"/>
      <c r="P6" s="233"/>
    </row>
    <row r="7" spans="1:16" ht="13.5" thickBot="1">
      <c r="C7" s="432" t="s">
        <v>46</v>
      </c>
      <c r="D7" s="565" t="s">
        <v>84</v>
      </c>
      <c r="E7" s="233"/>
      <c r="F7" s="233"/>
      <c r="G7" s="233"/>
      <c r="H7" s="242"/>
      <c r="I7" s="242"/>
      <c r="J7" s="348"/>
      <c r="K7" s="434" t="s">
        <v>47</v>
      </c>
      <c r="L7" s="435"/>
      <c r="M7" s="435"/>
      <c r="N7" s="436">
        <f>+N6-N5</f>
        <v>0</v>
      </c>
      <c r="O7" s="233"/>
      <c r="P7" s="233"/>
    </row>
    <row r="8" spans="1:16" ht="13.5" thickBot="1">
      <c r="C8" s="437"/>
      <c r="D8" s="438"/>
      <c r="E8" s="439"/>
      <c r="F8" s="439"/>
      <c r="G8" s="439"/>
      <c r="H8" s="439"/>
      <c r="I8" s="439"/>
      <c r="J8" s="440"/>
      <c r="K8" s="439"/>
      <c r="L8" s="439"/>
      <c r="M8" s="439"/>
      <c r="N8" s="439"/>
      <c r="O8" s="440"/>
      <c r="P8" s="312"/>
    </row>
    <row r="9" spans="1:16" ht="13.5" thickBot="1">
      <c r="A9" s="155"/>
      <c r="C9" s="441" t="s">
        <v>48</v>
      </c>
      <c r="D9" s="442" t="s">
        <v>85</v>
      </c>
      <c r="E9" s="443"/>
      <c r="F9" s="443"/>
      <c r="G9" s="443"/>
      <c r="H9" s="443"/>
      <c r="I9" s="444"/>
      <c r="J9" s="445"/>
      <c r="O9" s="446"/>
      <c r="P9" s="243"/>
    </row>
    <row r="10" spans="1:16" ht="13">
      <c r="C10" s="447" t="s">
        <v>226</v>
      </c>
      <c r="D10" s="448">
        <v>1520502</v>
      </c>
      <c r="E10" s="325" t="s">
        <v>51</v>
      </c>
      <c r="F10" s="446"/>
      <c r="G10" s="449"/>
      <c r="H10" s="449"/>
      <c r="I10" s="450">
        <f>+PSO.WS.F.BPU.ATRR.Projected!L19</f>
        <v>2020</v>
      </c>
      <c r="J10" s="445"/>
      <c r="K10" s="348" t="s">
        <v>52</v>
      </c>
      <c r="O10" s="243"/>
      <c r="P10" s="243"/>
    </row>
    <row r="11" spans="1:16" ht="12.5">
      <c r="C11" s="451" t="s">
        <v>53</v>
      </c>
      <c r="D11" s="452">
        <v>2008</v>
      </c>
      <c r="E11" s="451" t="s">
        <v>54</v>
      </c>
      <c r="F11" s="449"/>
      <c r="G11" s="195"/>
      <c r="H11" s="195"/>
      <c r="I11" s="453">
        <f>IF(G5="",0,PSO.WS.F.BPU.ATRR.Projected!F$13)</f>
        <v>0</v>
      </c>
      <c r="J11" s="454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3"/>
      <c r="P11" s="243"/>
    </row>
    <row r="12" spans="1:16" ht="12.5">
      <c r="C12" s="451" t="s">
        <v>55</v>
      </c>
      <c r="D12" s="448">
        <v>4</v>
      </c>
      <c r="E12" s="451" t="s">
        <v>56</v>
      </c>
      <c r="F12" s="449"/>
      <c r="G12" s="195"/>
      <c r="H12" s="195"/>
      <c r="I12" s="455">
        <f>PSO.WS.F.BPU.ATRR.Projected!$F$81</f>
        <v>0.11505633525681883</v>
      </c>
      <c r="J12" s="397"/>
      <c r="K12" s="148" t="s">
        <v>57</v>
      </c>
      <c r="O12" s="243"/>
      <c r="P12" s="243"/>
    </row>
    <row r="13" spans="1:16" ht="12.5">
      <c r="C13" s="451" t="s">
        <v>58</v>
      </c>
      <c r="D13" s="453">
        <f>+PSO.WS.F.BPU.ATRR.Projected!F$93</f>
        <v>43</v>
      </c>
      <c r="E13" s="451" t="s">
        <v>59</v>
      </c>
      <c r="F13" s="449"/>
      <c r="G13" s="195"/>
      <c r="H13" s="195"/>
      <c r="I13" s="455">
        <f>IF(G5="",I12,PSO.WS.F.BPU.ATRR.Projected!$F$80)</f>
        <v>0.11505633525681883</v>
      </c>
      <c r="J13" s="397"/>
      <c r="K13" s="348" t="s">
        <v>60</v>
      </c>
      <c r="L13" s="295"/>
      <c r="M13" s="295"/>
      <c r="N13" s="295"/>
      <c r="O13" s="243"/>
      <c r="P13" s="243"/>
    </row>
    <row r="14" spans="1:16" ht="13" thickBot="1">
      <c r="C14" s="451" t="s">
        <v>61</v>
      </c>
      <c r="D14" s="452" t="s">
        <v>62</v>
      </c>
      <c r="E14" s="243" t="s">
        <v>63</v>
      </c>
      <c r="F14" s="449"/>
      <c r="G14" s="195"/>
      <c r="H14" s="195"/>
      <c r="I14" s="456">
        <f>IF(D10=0,0,D10/D13)</f>
        <v>35360.511627906977</v>
      </c>
      <c r="J14" s="348"/>
      <c r="K14" s="348"/>
      <c r="L14" s="348"/>
      <c r="M14" s="348"/>
      <c r="N14" s="348"/>
      <c r="O14" s="243"/>
      <c r="P14" s="243"/>
    </row>
    <row r="15" spans="1:16" ht="39">
      <c r="C15" s="457" t="s">
        <v>50</v>
      </c>
      <c r="D15" s="458" t="s">
        <v>64</v>
      </c>
      <c r="E15" s="458" t="s">
        <v>65</v>
      </c>
      <c r="F15" s="458" t="s">
        <v>66</v>
      </c>
      <c r="G15" s="459" t="s">
        <v>286</v>
      </c>
      <c r="H15" s="460" t="s">
        <v>287</v>
      </c>
      <c r="I15" s="457" t="s">
        <v>67</v>
      </c>
      <c r="J15" s="461"/>
      <c r="K15" s="462" t="s">
        <v>205</v>
      </c>
      <c r="L15" s="463" t="s">
        <v>68</v>
      </c>
      <c r="M15" s="462" t="s">
        <v>205</v>
      </c>
      <c r="N15" s="463" t="s">
        <v>68</v>
      </c>
      <c r="O15" s="464" t="s">
        <v>69</v>
      </c>
      <c r="P15" s="243"/>
    </row>
    <row r="16" spans="1:16" ht="13.5" thickBot="1">
      <c r="C16" s="465" t="s">
        <v>70</v>
      </c>
      <c r="D16" s="465" t="s">
        <v>71</v>
      </c>
      <c r="E16" s="465" t="s">
        <v>72</v>
      </c>
      <c r="F16" s="465" t="s">
        <v>71</v>
      </c>
      <c r="G16" s="466" t="s">
        <v>73</v>
      </c>
      <c r="H16" s="467" t="s">
        <v>74</v>
      </c>
      <c r="I16" s="468" t="s">
        <v>104</v>
      </c>
      <c r="J16" s="469" t="s">
        <v>75</v>
      </c>
      <c r="K16" s="470" t="s">
        <v>76</v>
      </c>
      <c r="L16" s="471" t="s">
        <v>76</v>
      </c>
      <c r="M16" s="470" t="s">
        <v>105</v>
      </c>
      <c r="N16" s="472" t="s">
        <v>105</v>
      </c>
      <c r="O16" s="470" t="s">
        <v>105</v>
      </c>
      <c r="P16" s="243"/>
    </row>
    <row r="17" spans="2:16" ht="12.5">
      <c r="B17" s="160"/>
      <c r="C17" s="473">
        <f>IF(D11= "","-",D11)</f>
        <v>2008</v>
      </c>
      <c r="D17" s="474">
        <v>1520473</v>
      </c>
      <c r="E17" s="475">
        <v>19125</v>
      </c>
      <c r="F17" s="474">
        <v>1501348</v>
      </c>
      <c r="G17" s="475">
        <v>0</v>
      </c>
      <c r="H17" s="482">
        <v>0</v>
      </c>
      <c r="I17" s="476">
        <f t="shared" ref="I17:I48" si="0">H17-G17</f>
        <v>0</v>
      </c>
      <c r="J17" s="476"/>
      <c r="K17" s="555">
        <v>0</v>
      </c>
      <c r="L17" s="478">
        <f t="shared" ref="L17:L48" si="1">IF(K17&lt;&gt;0,+G17-K17,0)</f>
        <v>0</v>
      </c>
      <c r="M17" s="555">
        <v>0</v>
      </c>
      <c r="N17" s="478">
        <f t="shared" ref="N17:N48" si="2">IF(M17&lt;&gt;0,+H17-M17,0)</f>
        <v>0</v>
      </c>
      <c r="O17" s="479">
        <f t="shared" ref="O17:O48" si="3">+N17-L17</f>
        <v>0</v>
      </c>
      <c r="P17" s="243"/>
    </row>
    <row r="18" spans="2:16" ht="12.5">
      <c r="B18" s="160" t="str">
        <f>IF(D18=F17,"","IU")</f>
        <v/>
      </c>
      <c r="C18" s="473">
        <f>IF(D11="","-",+C17+1)</f>
        <v>2009</v>
      </c>
      <c r="D18" s="480">
        <v>1501348</v>
      </c>
      <c r="E18" s="481">
        <v>28688</v>
      </c>
      <c r="F18" s="480">
        <v>1472660</v>
      </c>
      <c r="G18" s="481">
        <v>254309</v>
      </c>
      <c r="H18" s="482">
        <v>254309</v>
      </c>
      <c r="I18" s="476">
        <f t="shared" si="0"/>
        <v>0</v>
      </c>
      <c r="J18" s="476"/>
      <c r="K18" s="477">
        <v>254309</v>
      </c>
      <c r="L18" s="479">
        <f t="shared" si="1"/>
        <v>0</v>
      </c>
      <c r="M18" s="477">
        <v>254309</v>
      </c>
      <c r="N18" s="479">
        <f t="shared" si="2"/>
        <v>0</v>
      </c>
      <c r="O18" s="479">
        <f t="shared" si="3"/>
        <v>0</v>
      </c>
      <c r="P18" s="243"/>
    </row>
    <row r="19" spans="2:16" ht="12.5">
      <c r="B19" s="160" t="str">
        <f>IF(D19=F18,"","IU")</f>
        <v>IU</v>
      </c>
      <c r="C19" s="473">
        <f>IF(D11="","-",+C18+1)</f>
        <v>2010</v>
      </c>
      <c r="D19" s="480">
        <v>1472689</v>
      </c>
      <c r="E19" s="481">
        <v>27151.821428571428</v>
      </c>
      <c r="F19" s="480">
        <v>1445537.1785714286</v>
      </c>
      <c r="G19" s="481">
        <v>235737.79751815079</v>
      </c>
      <c r="H19" s="482">
        <v>235737.79751815079</v>
      </c>
      <c r="I19" s="476">
        <f t="shared" si="0"/>
        <v>0</v>
      </c>
      <c r="J19" s="476"/>
      <c r="K19" s="541">
        <f t="shared" ref="K19:K24" si="4">G19</f>
        <v>235737.79751815079</v>
      </c>
      <c r="L19" s="542">
        <f t="shared" si="1"/>
        <v>0</v>
      </c>
      <c r="M19" s="541">
        <f t="shared" ref="M19:M24" si="5">H19</f>
        <v>235737.79751815079</v>
      </c>
      <c r="N19" s="479">
        <f t="shared" si="2"/>
        <v>0</v>
      </c>
      <c r="O19" s="479">
        <f t="shared" si="3"/>
        <v>0</v>
      </c>
      <c r="P19" s="243"/>
    </row>
    <row r="20" spans="2:16" ht="12.5">
      <c r="B20" s="160" t="str">
        <f t="shared" ref="B20:B72" si="6">IF(D20=F19,"","IU")</f>
        <v/>
      </c>
      <c r="C20" s="473">
        <f>IF(D11="","-",+C19+1)</f>
        <v>2011</v>
      </c>
      <c r="D20" s="480">
        <v>1445537.1785714286</v>
      </c>
      <c r="E20" s="481">
        <v>29813.764705882353</v>
      </c>
      <c r="F20" s="480">
        <v>1415723.4138655462</v>
      </c>
      <c r="G20" s="481">
        <v>251435.83921239444</v>
      </c>
      <c r="H20" s="482">
        <v>251435.83921239444</v>
      </c>
      <c r="I20" s="476">
        <f t="shared" si="0"/>
        <v>0</v>
      </c>
      <c r="J20" s="476"/>
      <c r="K20" s="477">
        <f t="shared" si="4"/>
        <v>251435.83921239444</v>
      </c>
      <c r="L20" s="551">
        <f t="shared" si="1"/>
        <v>0</v>
      </c>
      <c r="M20" s="477">
        <f t="shared" si="5"/>
        <v>251435.83921239444</v>
      </c>
      <c r="N20" s="479">
        <f t="shared" si="2"/>
        <v>0</v>
      </c>
      <c r="O20" s="479">
        <f t="shared" si="3"/>
        <v>0</v>
      </c>
      <c r="P20" s="243"/>
    </row>
    <row r="21" spans="2:16" ht="12.5">
      <c r="B21" s="160" t="str">
        <f t="shared" si="6"/>
        <v/>
      </c>
      <c r="C21" s="473">
        <f>IF(D11="","-",+C20+1)</f>
        <v>2012</v>
      </c>
      <c r="D21" s="480">
        <v>1415723.4138655462</v>
      </c>
      <c r="E21" s="481">
        <v>29240.423076923078</v>
      </c>
      <c r="F21" s="480">
        <v>1386482.9907886232</v>
      </c>
      <c r="G21" s="481">
        <v>222248.1918516063</v>
      </c>
      <c r="H21" s="482">
        <v>222248.1918516063</v>
      </c>
      <c r="I21" s="476">
        <f t="shared" si="0"/>
        <v>0</v>
      </c>
      <c r="J21" s="476"/>
      <c r="K21" s="477">
        <f t="shared" si="4"/>
        <v>222248.1918516063</v>
      </c>
      <c r="L21" s="551">
        <f t="shared" si="1"/>
        <v>0</v>
      </c>
      <c r="M21" s="477">
        <f t="shared" si="5"/>
        <v>222248.1918516063</v>
      </c>
      <c r="N21" s="479">
        <f t="shared" si="2"/>
        <v>0</v>
      </c>
      <c r="O21" s="479">
        <f t="shared" si="3"/>
        <v>0</v>
      </c>
      <c r="P21" s="243"/>
    </row>
    <row r="22" spans="2:16" ht="12.5">
      <c r="B22" s="160" t="str">
        <f t="shared" si="6"/>
        <v/>
      </c>
      <c r="C22" s="473">
        <f>IF(D11="","-",+C21+1)</f>
        <v>2013</v>
      </c>
      <c r="D22" s="480">
        <v>1386482.9907886232</v>
      </c>
      <c r="E22" s="481">
        <v>29240.423076923078</v>
      </c>
      <c r="F22" s="480">
        <v>1357242.5677117002</v>
      </c>
      <c r="G22" s="481">
        <v>223063.83719618269</v>
      </c>
      <c r="H22" s="482">
        <v>223063.83719618269</v>
      </c>
      <c r="I22" s="476">
        <v>0</v>
      </c>
      <c r="J22" s="476"/>
      <c r="K22" s="477">
        <f t="shared" si="4"/>
        <v>223063.83719618269</v>
      </c>
      <c r="L22" s="551">
        <f t="shared" ref="L22:L27" si="7">IF(K22&lt;&gt;0,+G22-K22,0)</f>
        <v>0</v>
      </c>
      <c r="M22" s="477">
        <f t="shared" si="5"/>
        <v>223063.83719618269</v>
      </c>
      <c r="N22" s="479">
        <f t="shared" ref="N22:N27" si="8">IF(M22&lt;&gt;0,+H22-M22,0)</f>
        <v>0</v>
      </c>
      <c r="O22" s="479">
        <f t="shared" ref="O22:O27" si="9">+N22-L22</f>
        <v>0</v>
      </c>
      <c r="P22" s="243"/>
    </row>
    <row r="23" spans="2:16" ht="12.5">
      <c r="B23" s="160" t="str">
        <f t="shared" si="6"/>
        <v/>
      </c>
      <c r="C23" s="473">
        <f>IF(D11="","-",+C22+1)</f>
        <v>2014</v>
      </c>
      <c r="D23" s="480">
        <v>1357242.5677117002</v>
      </c>
      <c r="E23" s="481">
        <v>29240.423076923078</v>
      </c>
      <c r="F23" s="480">
        <v>1328002.1446347772</v>
      </c>
      <c r="G23" s="481">
        <v>212051.56179808528</v>
      </c>
      <c r="H23" s="482">
        <v>212051.56179808528</v>
      </c>
      <c r="I23" s="476">
        <v>0</v>
      </c>
      <c r="J23" s="476"/>
      <c r="K23" s="477">
        <f t="shared" si="4"/>
        <v>212051.56179808528</v>
      </c>
      <c r="L23" s="551">
        <f t="shared" si="7"/>
        <v>0</v>
      </c>
      <c r="M23" s="477">
        <f t="shared" si="5"/>
        <v>212051.56179808528</v>
      </c>
      <c r="N23" s="479">
        <f t="shared" si="8"/>
        <v>0</v>
      </c>
      <c r="O23" s="479">
        <f t="shared" si="9"/>
        <v>0</v>
      </c>
      <c r="P23" s="243"/>
    </row>
    <row r="24" spans="2:16" ht="12.5">
      <c r="B24" s="160" t="str">
        <f t="shared" si="6"/>
        <v/>
      </c>
      <c r="C24" s="473">
        <f>IF(D11="","-",+C23+1)</f>
        <v>2015</v>
      </c>
      <c r="D24" s="480">
        <v>1328002.1446347772</v>
      </c>
      <c r="E24" s="481">
        <v>29240.423076923078</v>
      </c>
      <c r="F24" s="480">
        <v>1298761.7215578542</v>
      </c>
      <c r="G24" s="481">
        <v>208302.85337289202</v>
      </c>
      <c r="H24" s="482">
        <v>208302.85337289202</v>
      </c>
      <c r="I24" s="476">
        <v>0</v>
      </c>
      <c r="J24" s="476"/>
      <c r="K24" s="477">
        <f t="shared" si="4"/>
        <v>208302.85337289202</v>
      </c>
      <c r="L24" s="551">
        <f t="shared" si="7"/>
        <v>0</v>
      </c>
      <c r="M24" s="477">
        <f t="shared" si="5"/>
        <v>208302.85337289202</v>
      </c>
      <c r="N24" s="479">
        <f t="shared" si="8"/>
        <v>0</v>
      </c>
      <c r="O24" s="479">
        <f t="shared" si="9"/>
        <v>0</v>
      </c>
      <c r="P24" s="243"/>
    </row>
    <row r="25" spans="2:16" ht="12.5">
      <c r="B25" s="160" t="str">
        <f t="shared" si="6"/>
        <v/>
      </c>
      <c r="C25" s="473">
        <f>IF(D11="","-",+C24+1)</f>
        <v>2016</v>
      </c>
      <c r="D25" s="480">
        <v>1298761.7215578542</v>
      </c>
      <c r="E25" s="481">
        <v>29240.423076923078</v>
      </c>
      <c r="F25" s="480">
        <v>1269521.2984809312</v>
      </c>
      <c r="G25" s="481">
        <v>195750.37197477801</v>
      </c>
      <c r="H25" s="482">
        <v>195750.37197477801</v>
      </c>
      <c r="I25" s="476">
        <f t="shared" si="0"/>
        <v>0</v>
      </c>
      <c r="J25" s="476"/>
      <c r="K25" s="477">
        <f>G25</f>
        <v>195750.37197477801</v>
      </c>
      <c r="L25" s="551">
        <f t="shared" si="7"/>
        <v>0</v>
      </c>
      <c r="M25" s="477">
        <f>H25</f>
        <v>195750.37197477801</v>
      </c>
      <c r="N25" s="479">
        <f t="shared" si="8"/>
        <v>0</v>
      </c>
      <c r="O25" s="479">
        <f t="shared" si="9"/>
        <v>0</v>
      </c>
      <c r="P25" s="243"/>
    </row>
    <row r="26" spans="2:16" ht="12.5">
      <c r="B26" s="160" t="str">
        <f t="shared" si="6"/>
        <v/>
      </c>
      <c r="C26" s="473">
        <f>IF(D11="","-",+C25+1)</f>
        <v>2017</v>
      </c>
      <c r="D26" s="480">
        <v>1269521.2984809312</v>
      </c>
      <c r="E26" s="481">
        <v>33054.391304347824</v>
      </c>
      <c r="F26" s="480">
        <v>1236466.9071765833</v>
      </c>
      <c r="G26" s="481">
        <v>190407.97943741584</v>
      </c>
      <c r="H26" s="482">
        <v>190407.97943741584</v>
      </c>
      <c r="I26" s="476">
        <f t="shared" si="0"/>
        <v>0</v>
      </c>
      <c r="J26" s="476"/>
      <c r="K26" s="477">
        <f>G26</f>
        <v>190407.97943741584</v>
      </c>
      <c r="L26" s="551">
        <f t="shared" si="7"/>
        <v>0</v>
      </c>
      <c r="M26" s="477">
        <f>H26</f>
        <v>190407.97943741584</v>
      </c>
      <c r="N26" s="479">
        <f t="shared" si="8"/>
        <v>0</v>
      </c>
      <c r="O26" s="479">
        <f t="shared" si="9"/>
        <v>0</v>
      </c>
      <c r="P26" s="243"/>
    </row>
    <row r="27" spans="2:16" ht="12.5">
      <c r="B27" s="160" t="str">
        <f t="shared" si="6"/>
        <v/>
      </c>
      <c r="C27" s="473">
        <f>IF(D11="","-",+C26+1)</f>
        <v>2018</v>
      </c>
      <c r="D27" s="480">
        <v>1236466.9071765833</v>
      </c>
      <c r="E27" s="481">
        <v>33788.933333333334</v>
      </c>
      <c r="F27" s="480">
        <v>1202677.97384325</v>
      </c>
      <c r="G27" s="481">
        <v>196553.85018087178</v>
      </c>
      <c r="H27" s="482">
        <v>196553.85018087178</v>
      </c>
      <c r="I27" s="476">
        <f t="shared" si="0"/>
        <v>0</v>
      </c>
      <c r="J27" s="476"/>
      <c r="K27" s="477">
        <f>G27</f>
        <v>196553.85018087178</v>
      </c>
      <c r="L27" s="551">
        <f t="shared" si="7"/>
        <v>0</v>
      </c>
      <c r="M27" s="477">
        <f>H27</f>
        <v>196553.85018087178</v>
      </c>
      <c r="N27" s="479">
        <f t="shared" si="8"/>
        <v>0</v>
      </c>
      <c r="O27" s="479">
        <f t="shared" si="9"/>
        <v>0</v>
      </c>
      <c r="P27" s="243"/>
    </row>
    <row r="28" spans="2:16" ht="12.5">
      <c r="B28" s="160" t="str">
        <f t="shared" si="6"/>
        <v/>
      </c>
      <c r="C28" s="473">
        <f>IF(D11="","-",+C27+1)</f>
        <v>2019</v>
      </c>
      <c r="D28" s="480">
        <v>1202677.97384325</v>
      </c>
      <c r="E28" s="481">
        <v>33788.933333333334</v>
      </c>
      <c r="F28" s="480">
        <v>1168889.0405099166</v>
      </c>
      <c r="G28" s="481">
        <v>191981.01103026158</v>
      </c>
      <c r="H28" s="482">
        <v>191981.01103026158</v>
      </c>
      <c r="I28" s="476">
        <f t="shared" si="0"/>
        <v>0</v>
      </c>
      <c r="J28" s="476"/>
      <c r="K28" s="477">
        <f>G28</f>
        <v>191981.01103026158</v>
      </c>
      <c r="L28" s="551">
        <f t="shared" ref="L28" si="10">IF(K28&lt;&gt;0,+G28-K28,0)</f>
        <v>0</v>
      </c>
      <c r="M28" s="477">
        <f>H28</f>
        <v>191981.01103026158</v>
      </c>
      <c r="N28" s="479">
        <f t="shared" ref="N28" si="11">IF(M28&lt;&gt;0,+H28-M28,0)</f>
        <v>0</v>
      </c>
      <c r="O28" s="479">
        <f t="shared" ref="O28" si="12">+N28-L28</f>
        <v>0</v>
      </c>
      <c r="P28" s="243"/>
    </row>
    <row r="29" spans="2:16" ht="12.5">
      <c r="B29" s="160" t="str">
        <f t="shared" si="6"/>
        <v/>
      </c>
      <c r="C29" s="473">
        <f>IF(D11="","-",+C28+1)</f>
        <v>2020</v>
      </c>
      <c r="D29" s="480">
        <v>1168889.0405099166</v>
      </c>
      <c r="E29" s="481">
        <v>36202.428571428572</v>
      </c>
      <c r="F29" s="480">
        <v>1132686.611938488</v>
      </c>
      <c r="G29" s="481">
        <v>160493.01101346352</v>
      </c>
      <c r="H29" s="482">
        <v>160493.01101346352</v>
      </c>
      <c r="I29" s="476">
        <f t="shared" si="0"/>
        <v>0</v>
      </c>
      <c r="J29" s="476"/>
      <c r="K29" s="477">
        <f>G29</f>
        <v>160493.01101346352</v>
      </c>
      <c r="L29" s="551">
        <f t="shared" ref="L29" si="13">IF(K29&lt;&gt;0,+G29-K29,0)</f>
        <v>0</v>
      </c>
      <c r="M29" s="477">
        <f>H29</f>
        <v>160493.01101346352</v>
      </c>
      <c r="N29" s="479">
        <f t="shared" si="2"/>
        <v>0</v>
      </c>
      <c r="O29" s="479">
        <f t="shared" si="3"/>
        <v>0</v>
      </c>
      <c r="P29" s="243"/>
    </row>
    <row r="30" spans="2:16" ht="12.5">
      <c r="B30" s="160" t="str">
        <f t="shared" si="6"/>
        <v/>
      </c>
      <c r="C30" s="473">
        <f>IF(D11="","-",+C29+1)</f>
        <v>2021</v>
      </c>
      <c r="D30" s="486">
        <f>IF(F29+SUM(E$17:E29)=D$10,F29,D$10-SUM(E$17:E29))</f>
        <v>1132686.611938488</v>
      </c>
      <c r="E30" s="485">
        <f>IF(+I14&lt;F29,I14,D30)</f>
        <v>35360.511627906977</v>
      </c>
      <c r="F30" s="486">
        <f t="shared" ref="F30:F48" si="14">+D30-E30</f>
        <v>1097326.100310581</v>
      </c>
      <c r="G30" s="487">
        <f t="shared" ref="G30:G72" si="15">(D30+F30)/2*I$12+E30</f>
        <v>163649.05675165536</v>
      </c>
      <c r="H30" s="456">
        <f t="shared" ref="H30:H72" si="16">+(D30+F30)/2*I$13+E30</f>
        <v>163649.05675165536</v>
      </c>
      <c r="I30" s="476">
        <f t="shared" si="0"/>
        <v>0</v>
      </c>
      <c r="J30" s="476"/>
      <c r="K30" s="488"/>
      <c r="L30" s="479">
        <f t="shared" si="1"/>
        <v>0</v>
      </c>
      <c r="M30" s="488"/>
      <c r="N30" s="479">
        <f t="shared" si="2"/>
        <v>0</v>
      </c>
      <c r="O30" s="479">
        <f t="shared" si="3"/>
        <v>0</v>
      </c>
      <c r="P30" s="243"/>
    </row>
    <row r="31" spans="2:16" ht="12.5">
      <c r="B31" s="160" t="str">
        <f t="shared" si="6"/>
        <v/>
      </c>
      <c r="C31" s="473">
        <f>IF(D11="","-",+C30+1)</f>
        <v>2022</v>
      </c>
      <c r="D31" s="486">
        <f>IF(F30+SUM(E$17:E30)=D$10,F30,D$10-SUM(E$17:E30))</f>
        <v>1097326.100310581</v>
      </c>
      <c r="E31" s="485">
        <f>IF(+I14&lt;F30,I14,D31)</f>
        <v>35360.511627906977</v>
      </c>
      <c r="F31" s="486">
        <f t="shared" si="14"/>
        <v>1061965.5886826741</v>
      </c>
      <c r="G31" s="487">
        <f t="shared" si="15"/>
        <v>159580.60587094224</v>
      </c>
      <c r="H31" s="456">
        <f t="shared" si="16"/>
        <v>159580.60587094224</v>
      </c>
      <c r="I31" s="476">
        <f t="shared" si="0"/>
        <v>0</v>
      </c>
      <c r="J31" s="476"/>
      <c r="K31" s="488"/>
      <c r="L31" s="479">
        <f t="shared" si="1"/>
        <v>0</v>
      </c>
      <c r="M31" s="488"/>
      <c r="N31" s="479">
        <f t="shared" si="2"/>
        <v>0</v>
      </c>
      <c r="O31" s="479">
        <f t="shared" si="3"/>
        <v>0</v>
      </c>
      <c r="P31" s="243"/>
    </row>
    <row r="32" spans="2:16" ht="12.5">
      <c r="B32" s="160" t="str">
        <f t="shared" si="6"/>
        <v/>
      </c>
      <c r="C32" s="473">
        <f>IF(D11="","-",+C31+1)</f>
        <v>2023</v>
      </c>
      <c r="D32" s="486">
        <f>IF(F31+SUM(E$17:E31)=D$10,F31,D$10-SUM(E$17:E31))</f>
        <v>1061965.5886826741</v>
      </c>
      <c r="E32" s="485">
        <f>IF(+I14&lt;F31,I14,D32)</f>
        <v>35360.511627906977</v>
      </c>
      <c r="F32" s="486">
        <f t="shared" si="14"/>
        <v>1026605.0770547672</v>
      </c>
      <c r="G32" s="487">
        <f t="shared" si="15"/>
        <v>155512.15499022914</v>
      </c>
      <c r="H32" s="456">
        <f t="shared" si="16"/>
        <v>155512.15499022914</v>
      </c>
      <c r="I32" s="476">
        <f t="shared" si="0"/>
        <v>0</v>
      </c>
      <c r="J32" s="476"/>
      <c r="K32" s="488"/>
      <c r="L32" s="479">
        <f t="shared" si="1"/>
        <v>0</v>
      </c>
      <c r="M32" s="488"/>
      <c r="N32" s="479">
        <f t="shared" si="2"/>
        <v>0</v>
      </c>
      <c r="O32" s="479">
        <f t="shared" si="3"/>
        <v>0</v>
      </c>
      <c r="P32" s="243"/>
    </row>
    <row r="33" spans="2:16" ht="12.5">
      <c r="B33" s="160" t="str">
        <f t="shared" si="6"/>
        <v/>
      </c>
      <c r="C33" s="473">
        <f>IF(D11="","-",+C32+1)</f>
        <v>2024</v>
      </c>
      <c r="D33" s="486">
        <f>IF(F32+SUM(E$17:E32)=D$10,F32,D$10-SUM(E$17:E32))</f>
        <v>1026605.0770547672</v>
      </c>
      <c r="E33" s="485">
        <f>IF(+I14&lt;F32,I14,D33)</f>
        <v>35360.511627906977</v>
      </c>
      <c r="F33" s="486">
        <f t="shared" si="14"/>
        <v>991244.56542686024</v>
      </c>
      <c r="G33" s="487">
        <f t="shared" si="15"/>
        <v>151443.70410951605</v>
      </c>
      <c r="H33" s="456">
        <f t="shared" si="16"/>
        <v>151443.70410951605</v>
      </c>
      <c r="I33" s="476">
        <f t="shared" si="0"/>
        <v>0</v>
      </c>
      <c r="J33" s="476"/>
      <c r="K33" s="488"/>
      <c r="L33" s="479">
        <f t="shared" si="1"/>
        <v>0</v>
      </c>
      <c r="M33" s="488"/>
      <c r="N33" s="479">
        <f t="shared" si="2"/>
        <v>0</v>
      </c>
      <c r="O33" s="479">
        <f t="shared" si="3"/>
        <v>0</v>
      </c>
      <c r="P33" s="243"/>
    </row>
    <row r="34" spans="2:16" ht="12.5">
      <c r="B34" s="160" t="str">
        <f t="shared" si="6"/>
        <v/>
      </c>
      <c r="C34" s="473">
        <f>IF(D11="","-",+C33+1)</f>
        <v>2025</v>
      </c>
      <c r="D34" s="486">
        <f>IF(F33+SUM(E$17:E33)=D$10,F33,D$10-SUM(E$17:E33))</f>
        <v>991244.56542686024</v>
      </c>
      <c r="E34" s="485">
        <f>IF(+I14&lt;F33,I14,D34)</f>
        <v>35360.511627906977</v>
      </c>
      <c r="F34" s="486">
        <f t="shared" si="14"/>
        <v>955884.0537989533</v>
      </c>
      <c r="G34" s="487">
        <f t="shared" si="15"/>
        <v>147375.25322880293</v>
      </c>
      <c r="H34" s="456">
        <f t="shared" si="16"/>
        <v>147375.25322880293</v>
      </c>
      <c r="I34" s="476">
        <f t="shared" si="0"/>
        <v>0</v>
      </c>
      <c r="J34" s="476"/>
      <c r="K34" s="488"/>
      <c r="L34" s="479">
        <f t="shared" si="1"/>
        <v>0</v>
      </c>
      <c r="M34" s="488"/>
      <c r="N34" s="479">
        <f t="shared" si="2"/>
        <v>0</v>
      </c>
      <c r="O34" s="479">
        <f t="shared" si="3"/>
        <v>0</v>
      </c>
      <c r="P34" s="243"/>
    </row>
    <row r="35" spans="2:16" ht="12.5">
      <c r="B35" s="160" t="str">
        <f t="shared" si="6"/>
        <v/>
      </c>
      <c r="C35" s="473">
        <f>IF(D11="","-",+C34+1)</f>
        <v>2026</v>
      </c>
      <c r="D35" s="486">
        <f>IF(F34+SUM(E$17:E34)=D$10,F34,D$10-SUM(E$17:E34))</f>
        <v>955884.0537989533</v>
      </c>
      <c r="E35" s="485">
        <f>IF(+I14&lt;F34,I14,D35)</f>
        <v>35360.511627906977</v>
      </c>
      <c r="F35" s="486">
        <f t="shared" si="14"/>
        <v>920523.54217104637</v>
      </c>
      <c r="G35" s="487">
        <f t="shared" si="15"/>
        <v>143306.80234808984</v>
      </c>
      <c r="H35" s="456">
        <f t="shared" si="16"/>
        <v>143306.80234808984</v>
      </c>
      <c r="I35" s="476">
        <f t="shared" si="0"/>
        <v>0</v>
      </c>
      <c r="J35" s="476"/>
      <c r="K35" s="488"/>
      <c r="L35" s="479">
        <f t="shared" si="1"/>
        <v>0</v>
      </c>
      <c r="M35" s="488"/>
      <c r="N35" s="479">
        <f t="shared" si="2"/>
        <v>0</v>
      </c>
      <c r="O35" s="479">
        <f t="shared" si="3"/>
        <v>0</v>
      </c>
      <c r="P35" s="243"/>
    </row>
    <row r="36" spans="2:16" ht="12.5">
      <c r="B36" s="160" t="str">
        <f t="shared" si="6"/>
        <v/>
      </c>
      <c r="C36" s="473">
        <f>IF(D11="","-",+C35+1)</f>
        <v>2027</v>
      </c>
      <c r="D36" s="486">
        <f>IF(F35+SUM(E$17:E35)=D$10,F35,D$10-SUM(E$17:E35))</f>
        <v>920523.54217104637</v>
      </c>
      <c r="E36" s="485">
        <f>IF(+I14&lt;F35,I14,D36)</f>
        <v>35360.511627906977</v>
      </c>
      <c r="F36" s="486">
        <f t="shared" si="14"/>
        <v>885163.03054313944</v>
      </c>
      <c r="G36" s="487">
        <f t="shared" si="15"/>
        <v>139238.35146737675</v>
      </c>
      <c r="H36" s="456">
        <f t="shared" si="16"/>
        <v>139238.35146737675</v>
      </c>
      <c r="I36" s="476">
        <f t="shared" si="0"/>
        <v>0</v>
      </c>
      <c r="J36" s="476"/>
      <c r="K36" s="488"/>
      <c r="L36" s="479">
        <f t="shared" si="1"/>
        <v>0</v>
      </c>
      <c r="M36" s="488"/>
      <c r="N36" s="479">
        <f t="shared" si="2"/>
        <v>0</v>
      </c>
      <c r="O36" s="479">
        <f t="shared" si="3"/>
        <v>0</v>
      </c>
      <c r="P36" s="243"/>
    </row>
    <row r="37" spans="2:16" ht="12.5">
      <c r="B37" s="160" t="str">
        <f t="shared" si="6"/>
        <v/>
      </c>
      <c r="C37" s="473">
        <f>IF(D11="","-",+C36+1)</f>
        <v>2028</v>
      </c>
      <c r="D37" s="486">
        <f>IF(F36+SUM(E$17:E36)=D$10,F36,D$10-SUM(E$17:E36))</f>
        <v>885163.03054313944</v>
      </c>
      <c r="E37" s="485">
        <f>IF(+I14&lt;F36,I14,D37)</f>
        <v>35360.511627906977</v>
      </c>
      <c r="F37" s="486">
        <f t="shared" si="14"/>
        <v>849802.5189152325</v>
      </c>
      <c r="G37" s="487">
        <f t="shared" si="15"/>
        <v>135169.90058666363</v>
      </c>
      <c r="H37" s="456">
        <f t="shared" si="16"/>
        <v>135169.90058666363</v>
      </c>
      <c r="I37" s="476">
        <f t="shared" si="0"/>
        <v>0</v>
      </c>
      <c r="J37" s="476"/>
      <c r="K37" s="488"/>
      <c r="L37" s="479">
        <f t="shared" si="1"/>
        <v>0</v>
      </c>
      <c r="M37" s="488"/>
      <c r="N37" s="479">
        <f t="shared" si="2"/>
        <v>0</v>
      </c>
      <c r="O37" s="479">
        <f t="shared" si="3"/>
        <v>0</v>
      </c>
      <c r="P37" s="243"/>
    </row>
    <row r="38" spans="2:16" ht="12.5">
      <c r="B38" s="160" t="str">
        <f t="shared" si="6"/>
        <v/>
      </c>
      <c r="C38" s="473">
        <f>IF(D11="","-",+C37+1)</f>
        <v>2029</v>
      </c>
      <c r="D38" s="486">
        <f>IF(F37+SUM(E$17:E37)=D$10,F37,D$10-SUM(E$17:E37))</f>
        <v>849802.5189152325</v>
      </c>
      <c r="E38" s="485">
        <f>IF(+I14&lt;F37,I14,D38)</f>
        <v>35360.511627906977</v>
      </c>
      <c r="F38" s="486">
        <f t="shared" si="14"/>
        <v>814442.00728732557</v>
      </c>
      <c r="G38" s="487">
        <f t="shared" si="15"/>
        <v>131101.44970595054</v>
      </c>
      <c r="H38" s="456">
        <f t="shared" si="16"/>
        <v>131101.44970595054</v>
      </c>
      <c r="I38" s="476">
        <f t="shared" si="0"/>
        <v>0</v>
      </c>
      <c r="J38" s="476"/>
      <c r="K38" s="488"/>
      <c r="L38" s="479">
        <f t="shared" si="1"/>
        <v>0</v>
      </c>
      <c r="M38" s="488"/>
      <c r="N38" s="479">
        <f t="shared" si="2"/>
        <v>0</v>
      </c>
      <c r="O38" s="479">
        <f t="shared" si="3"/>
        <v>0</v>
      </c>
      <c r="P38" s="243"/>
    </row>
    <row r="39" spans="2:16" ht="12.5">
      <c r="B39" s="160" t="str">
        <f t="shared" si="6"/>
        <v/>
      </c>
      <c r="C39" s="473">
        <f>IF(D11="","-",+C38+1)</f>
        <v>2030</v>
      </c>
      <c r="D39" s="486">
        <f>IF(F38+SUM(E$17:E38)=D$10,F38,D$10-SUM(E$17:E38))</f>
        <v>814442.00728732557</v>
      </c>
      <c r="E39" s="485">
        <f>IF(+I14&lt;F38,I14,D39)</f>
        <v>35360.511627906977</v>
      </c>
      <c r="F39" s="486">
        <f t="shared" si="14"/>
        <v>779081.49565941864</v>
      </c>
      <c r="G39" s="487">
        <f t="shared" si="15"/>
        <v>127032.99882523745</v>
      </c>
      <c r="H39" s="456">
        <f t="shared" si="16"/>
        <v>127032.99882523745</v>
      </c>
      <c r="I39" s="476">
        <f t="shared" si="0"/>
        <v>0</v>
      </c>
      <c r="J39" s="476"/>
      <c r="K39" s="488"/>
      <c r="L39" s="479">
        <f t="shared" si="1"/>
        <v>0</v>
      </c>
      <c r="M39" s="488"/>
      <c r="N39" s="479">
        <f t="shared" si="2"/>
        <v>0</v>
      </c>
      <c r="O39" s="479">
        <f t="shared" si="3"/>
        <v>0</v>
      </c>
      <c r="P39" s="243"/>
    </row>
    <row r="40" spans="2:16" ht="12.5">
      <c r="B40" s="160" t="str">
        <f t="shared" si="6"/>
        <v/>
      </c>
      <c r="C40" s="473">
        <f>IF(D11="","-",+C39+1)</f>
        <v>2031</v>
      </c>
      <c r="D40" s="486">
        <f>IF(F39+SUM(E$17:E39)=D$10,F39,D$10-SUM(E$17:E39))</f>
        <v>779081.49565941864</v>
      </c>
      <c r="E40" s="485">
        <f>IF(+I14&lt;F39,I14,D40)</f>
        <v>35360.511627906977</v>
      </c>
      <c r="F40" s="486">
        <f t="shared" si="14"/>
        <v>743720.9840315117</v>
      </c>
      <c r="G40" s="487">
        <f t="shared" si="15"/>
        <v>122964.54794452434</v>
      </c>
      <c r="H40" s="456">
        <f t="shared" si="16"/>
        <v>122964.54794452434</v>
      </c>
      <c r="I40" s="476">
        <f t="shared" si="0"/>
        <v>0</v>
      </c>
      <c r="J40" s="476"/>
      <c r="K40" s="488"/>
      <c r="L40" s="479">
        <f t="shared" si="1"/>
        <v>0</v>
      </c>
      <c r="M40" s="488"/>
      <c r="N40" s="479">
        <f t="shared" si="2"/>
        <v>0</v>
      </c>
      <c r="O40" s="479">
        <f t="shared" si="3"/>
        <v>0</v>
      </c>
      <c r="P40" s="243"/>
    </row>
    <row r="41" spans="2:16" ht="12.5">
      <c r="B41" s="160" t="str">
        <f t="shared" si="6"/>
        <v/>
      </c>
      <c r="C41" s="473">
        <f>IF(D11="","-",+C40+1)</f>
        <v>2032</v>
      </c>
      <c r="D41" s="486">
        <f>IF(F40+SUM(E$17:E40)=D$10,F40,D$10-SUM(E$17:E40))</f>
        <v>743720.9840315117</v>
      </c>
      <c r="E41" s="485">
        <f>IF(+I14&lt;F40,I14,D41)</f>
        <v>35360.511627906977</v>
      </c>
      <c r="F41" s="486">
        <f t="shared" si="14"/>
        <v>708360.47240360477</v>
      </c>
      <c r="G41" s="487">
        <f t="shared" si="15"/>
        <v>118896.09706381123</v>
      </c>
      <c r="H41" s="456">
        <f t="shared" si="16"/>
        <v>118896.09706381123</v>
      </c>
      <c r="I41" s="476">
        <f t="shared" si="0"/>
        <v>0</v>
      </c>
      <c r="J41" s="476"/>
      <c r="K41" s="488"/>
      <c r="L41" s="479">
        <f t="shared" si="1"/>
        <v>0</v>
      </c>
      <c r="M41" s="488"/>
      <c r="N41" s="479">
        <f t="shared" si="2"/>
        <v>0</v>
      </c>
      <c r="O41" s="479">
        <f t="shared" si="3"/>
        <v>0</v>
      </c>
      <c r="P41" s="243"/>
    </row>
    <row r="42" spans="2:16" ht="12.5">
      <c r="B42" s="160" t="str">
        <f t="shared" si="6"/>
        <v/>
      </c>
      <c r="C42" s="473">
        <f>IF(D11="","-",+C41+1)</f>
        <v>2033</v>
      </c>
      <c r="D42" s="486">
        <f>IF(F41+SUM(E$17:E41)=D$10,F41,D$10-SUM(E$17:E41))</f>
        <v>708360.47240360477</v>
      </c>
      <c r="E42" s="485">
        <f>IF(+I14&lt;F41,I14,D42)</f>
        <v>35360.511627906977</v>
      </c>
      <c r="F42" s="486">
        <f t="shared" si="14"/>
        <v>672999.96077569784</v>
      </c>
      <c r="G42" s="487">
        <f t="shared" si="15"/>
        <v>114827.64618309814</v>
      </c>
      <c r="H42" s="456">
        <f t="shared" si="16"/>
        <v>114827.64618309814</v>
      </c>
      <c r="I42" s="476">
        <f t="shared" si="0"/>
        <v>0</v>
      </c>
      <c r="J42" s="476"/>
      <c r="K42" s="488"/>
      <c r="L42" s="479">
        <f t="shared" si="1"/>
        <v>0</v>
      </c>
      <c r="M42" s="488"/>
      <c r="N42" s="479">
        <f t="shared" si="2"/>
        <v>0</v>
      </c>
      <c r="O42" s="479">
        <f t="shared" si="3"/>
        <v>0</v>
      </c>
      <c r="P42" s="243"/>
    </row>
    <row r="43" spans="2:16" ht="12.5">
      <c r="B43" s="160" t="str">
        <f t="shared" si="6"/>
        <v/>
      </c>
      <c r="C43" s="473">
        <f>IF(D11="","-",+C42+1)</f>
        <v>2034</v>
      </c>
      <c r="D43" s="486">
        <f>IF(F42+SUM(E$17:E42)=D$10,F42,D$10-SUM(E$17:E42))</f>
        <v>672999.96077569784</v>
      </c>
      <c r="E43" s="485">
        <f>IF(+I14&lt;F42,I14,D43)</f>
        <v>35360.511627906977</v>
      </c>
      <c r="F43" s="486">
        <f t="shared" si="14"/>
        <v>637639.4491477909</v>
      </c>
      <c r="G43" s="487">
        <f t="shared" si="15"/>
        <v>110759.19530238504</v>
      </c>
      <c r="H43" s="456">
        <f t="shared" si="16"/>
        <v>110759.19530238504</v>
      </c>
      <c r="I43" s="476">
        <f t="shared" si="0"/>
        <v>0</v>
      </c>
      <c r="J43" s="476"/>
      <c r="K43" s="488"/>
      <c r="L43" s="479">
        <f t="shared" si="1"/>
        <v>0</v>
      </c>
      <c r="M43" s="488"/>
      <c r="N43" s="479">
        <f t="shared" si="2"/>
        <v>0</v>
      </c>
      <c r="O43" s="479">
        <f t="shared" si="3"/>
        <v>0</v>
      </c>
      <c r="P43" s="243"/>
    </row>
    <row r="44" spans="2:16" ht="12.5">
      <c r="B44" s="160" t="str">
        <f t="shared" si="6"/>
        <v/>
      </c>
      <c r="C44" s="473">
        <f>IF(D11="","-",+C43+1)</f>
        <v>2035</v>
      </c>
      <c r="D44" s="486">
        <f>IF(F43+SUM(E$17:E43)=D$10,F43,D$10-SUM(E$17:E43))</f>
        <v>637639.4491477909</v>
      </c>
      <c r="E44" s="485">
        <f>IF(+I14&lt;F43,I14,D44)</f>
        <v>35360.511627906977</v>
      </c>
      <c r="F44" s="486">
        <f t="shared" si="14"/>
        <v>602278.93751988397</v>
      </c>
      <c r="G44" s="487">
        <f t="shared" si="15"/>
        <v>106690.74442167193</v>
      </c>
      <c r="H44" s="456">
        <f t="shared" si="16"/>
        <v>106690.74442167193</v>
      </c>
      <c r="I44" s="476">
        <f t="shared" si="0"/>
        <v>0</v>
      </c>
      <c r="J44" s="476"/>
      <c r="K44" s="488"/>
      <c r="L44" s="479">
        <f t="shared" si="1"/>
        <v>0</v>
      </c>
      <c r="M44" s="488"/>
      <c r="N44" s="479">
        <f t="shared" si="2"/>
        <v>0</v>
      </c>
      <c r="O44" s="479">
        <f t="shared" si="3"/>
        <v>0</v>
      </c>
      <c r="P44" s="243"/>
    </row>
    <row r="45" spans="2:16" ht="12.5">
      <c r="B45" s="160" t="str">
        <f t="shared" si="6"/>
        <v/>
      </c>
      <c r="C45" s="473">
        <f>IF(D11="","-",+C44+1)</f>
        <v>2036</v>
      </c>
      <c r="D45" s="486">
        <f>IF(F44+SUM(E$17:E44)=D$10,F44,D$10-SUM(E$17:E44))</f>
        <v>602278.93751988397</v>
      </c>
      <c r="E45" s="485">
        <f>IF(+I14&lt;F44,I14,D45)</f>
        <v>35360.511627906977</v>
      </c>
      <c r="F45" s="486">
        <f t="shared" si="14"/>
        <v>566918.42589197704</v>
      </c>
      <c r="G45" s="487">
        <f t="shared" si="15"/>
        <v>102622.29354095884</v>
      </c>
      <c r="H45" s="456">
        <f t="shared" si="16"/>
        <v>102622.29354095884</v>
      </c>
      <c r="I45" s="476">
        <f t="shared" si="0"/>
        <v>0</v>
      </c>
      <c r="J45" s="476"/>
      <c r="K45" s="488"/>
      <c r="L45" s="479">
        <f t="shared" si="1"/>
        <v>0</v>
      </c>
      <c r="M45" s="488"/>
      <c r="N45" s="479">
        <f t="shared" si="2"/>
        <v>0</v>
      </c>
      <c r="O45" s="479">
        <f t="shared" si="3"/>
        <v>0</v>
      </c>
      <c r="P45" s="243"/>
    </row>
    <row r="46" spans="2:16" ht="12.5">
      <c r="B46" s="160" t="str">
        <f t="shared" si="6"/>
        <v/>
      </c>
      <c r="C46" s="473">
        <f>IF(D11="","-",+C45+1)</f>
        <v>2037</v>
      </c>
      <c r="D46" s="486">
        <f>IF(F45+SUM(E$17:E45)=D$10,F45,D$10-SUM(E$17:E45))</f>
        <v>566918.42589197704</v>
      </c>
      <c r="E46" s="485">
        <f>IF(+I14&lt;F45,I14,D46)</f>
        <v>35360.511627906977</v>
      </c>
      <c r="F46" s="486">
        <f t="shared" si="14"/>
        <v>531557.9142640701</v>
      </c>
      <c r="G46" s="487">
        <f t="shared" si="15"/>
        <v>98553.842660245733</v>
      </c>
      <c r="H46" s="456">
        <f t="shared" si="16"/>
        <v>98553.842660245733</v>
      </c>
      <c r="I46" s="476">
        <f t="shared" si="0"/>
        <v>0</v>
      </c>
      <c r="J46" s="476"/>
      <c r="K46" s="488"/>
      <c r="L46" s="479">
        <f t="shared" si="1"/>
        <v>0</v>
      </c>
      <c r="M46" s="488"/>
      <c r="N46" s="479">
        <f t="shared" si="2"/>
        <v>0</v>
      </c>
      <c r="O46" s="479">
        <f t="shared" si="3"/>
        <v>0</v>
      </c>
      <c r="P46" s="243"/>
    </row>
    <row r="47" spans="2:16" ht="12.5">
      <c r="B47" s="160" t="str">
        <f t="shared" si="6"/>
        <v/>
      </c>
      <c r="C47" s="473">
        <f>IF(D11="","-",+C46+1)</f>
        <v>2038</v>
      </c>
      <c r="D47" s="486">
        <f>IF(F46+SUM(E$17:E46)=D$10,F46,D$10-SUM(E$17:E46))</f>
        <v>531557.9142640701</v>
      </c>
      <c r="E47" s="485">
        <f>IF(+I14&lt;F46,I14,D47)</f>
        <v>35360.511627906977</v>
      </c>
      <c r="F47" s="486">
        <f t="shared" si="14"/>
        <v>496197.40263616311</v>
      </c>
      <c r="G47" s="487">
        <f t="shared" si="15"/>
        <v>94485.391779532627</v>
      </c>
      <c r="H47" s="456">
        <f t="shared" si="16"/>
        <v>94485.391779532627</v>
      </c>
      <c r="I47" s="476">
        <f t="shared" si="0"/>
        <v>0</v>
      </c>
      <c r="J47" s="476"/>
      <c r="K47" s="488"/>
      <c r="L47" s="479">
        <f t="shared" si="1"/>
        <v>0</v>
      </c>
      <c r="M47" s="488"/>
      <c r="N47" s="479">
        <f t="shared" si="2"/>
        <v>0</v>
      </c>
      <c r="O47" s="479">
        <f t="shared" si="3"/>
        <v>0</v>
      </c>
      <c r="P47" s="243"/>
    </row>
    <row r="48" spans="2:16" ht="12.5">
      <c r="B48" s="160" t="str">
        <f t="shared" si="6"/>
        <v/>
      </c>
      <c r="C48" s="473">
        <f>IF(D11="","-",+C47+1)</f>
        <v>2039</v>
      </c>
      <c r="D48" s="486">
        <f>IF(F47+SUM(E$17:E47)=D$10,F47,D$10-SUM(E$17:E47))</f>
        <v>496197.40263616311</v>
      </c>
      <c r="E48" s="485">
        <f>IF(+I14&lt;F47,I14,D48)</f>
        <v>35360.511627906977</v>
      </c>
      <c r="F48" s="486">
        <f t="shared" si="14"/>
        <v>460836.89100825612</v>
      </c>
      <c r="G48" s="487">
        <f t="shared" si="15"/>
        <v>90416.940898819521</v>
      </c>
      <c r="H48" s="456">
        <f t="shared" si="16"/>
        <v>90416.940898819521</v>
      </c>
      <c r="I48" s="476">
        <f t="shared" si="0"/>
        <v>0</v>
      </c>
      <c r="J48" s="476"/>
      <c r="K48" s="488"/>
      <c r="L48" s="479">
        <f t="shared" si="1"/>
        <v>0</v>
      </c>
      <c r="M48" s="488"/>
      <c r="N48" s="479">
        <f t="shared" si="2"/>
        <v>0</v>
      </c>
      <c r="O48" s="479">
        <f t="shared" si="3"/>
        <v>0</v>
      </c>
      <c r="P48" s="243"/>
    </row>
    <row r="49" spans="2:16" ht="12.5">
      <c r="B49" s="160" t="str">
        <f t="shared" si="6"/>
        <v/>
      </c>
      <c r="C49" s="473">
        <f>IF(D11="","-",+C48+1)</f>
        <v>2040</v>
      </c>
      <c r="D49" s="486">
        <f>IF(F48+SUM(E$17:E48)=D$10,F48,D$10-SUM(E$17:E48))</f>
        <v>460836.89100825612</v>
      </c>
      <c r="E49" s="485">
        <f>IF(+I14&lt;F48,I14,D49)</f>
        <v>35360.511627906977</v>
      </c>
      <c r="F49" s="486">
        <f t="shared" ref="F49:F72" si="17">+D49-E49</f>
        <v>425476.37938034913</v>
      </c>
      <c r="G49" s="487">
        <f t="shared" si="15"/>
        <v>86348.490018106415</v>
      </c>
      <c r="H49" s="456">
        <f t="shared" si="16"/>
        <v>86348.490018106415</v>
      </c>
      <c r="I49" s="476">
        <f t="shared" ref="I49:I72" si="18">H49-G49</f>
        <v>0</v>
      </c>
      <c r="J49" s="476"/>
      <c r="K49" s="488"/>
      <c r="L49" s="479">
        <f t="shared" ref="L49:L72" si="19">IF(K49&lt;&gt;0,+G49-K49,0)</f>
        <v>0</v>
      </c>
      <c r="M49" s="488"/>
      <c r="N49" s="479">
        <f t="shared" ref="N49:N72" si="20">IF(M49&lt;&gt;0,+H49-M49,0)</f>
        <v>0</v>
      </c>
      <c r="O49" s="479">
        <f t="shared" ref="O49:O72" si="21">+N49-L49</f>
        <v>0</v>
      </c>
      <c r="P49" s="243"/>
    </row>
    <row r="50" spans="2:16" ht="12.5">
      <c r="B50" s="160" t="str">
        <f t="shared" si="6"/>
        <v/>
      </c>
      <c r="C50" s="473">
        <f>IF(D11="","-",+C49+1)</f>
        <v>2041</v>
      </c>
      <c r="D50" s="486">
        <f>IF(F49+SUM(E$17:E49)=D$10,F49,D$10-SUM(E$17:E49))</f>
        <v>425476.37938034913</v>
      </c>
      <c r="E50" s="485">
        <f>IF(+I14&lt;F49,I14,D50)</f>
        <v>35360.511627906977</v>
      </c>
      <c r="F50" s="486">
        <f t="shared" si="17"/>
        <v>390115.86775244214</v>
      </c>
      <c r="G50" s="487">
        <f t="shared" si="15"/>
        <v>82280.039137393309</v>
      </c>
      <c r="H50" s="456">
        <f t="shared" si="16"/>
        <v>82280.039137393309</v>
      </c>
      <c r="I50" s="476">
        <f t="shared" si="18"/>
        <v>0</v>
      </c>
      <c r="J50" s="476"/>
      <c r="K50" s="488"/>
      <c r="L50" s="479">
        <f t="shared" si="19"/>
        <v>0</v>
      </c>
      <c r="M50" s="488"/>
      <c r="N50" s="479">
        <f t="shared" si="20"/>
        <v>0</v>
      </c>
      <c r="O50" s="479">
        <f t="shared" si="21"/>
        <v>0</v>
      </c>
      <c r="P50" s="243"/>
    </row>
    <row r="51" spans="2:16" ht="12.5">
      <c r="B51" s="160" t="str">
        <f t="shared" si="6"/>
        <v/>
      </c>
      <c r="C51" s="473">
        <f>IF(D11="","-",+C50+1)</f>
        <v>2042</v>
      </c>
      <c r="D51" s="486">
        <f>IF(F50+SUM(E$17:E50)=D$10,F50,D$10-SUM(E$17:E50))</f>
        <v>390115.86775244214</v>
      </c>
      <c r="E51" s="485">
        <f>IF(+I14&lt;F50,I14,D51)</f>
        <v>35360.511627906977</v>
      </c>
      <c r="F51" s="486">
        <f t="shared" si="17"/>
        <v>354755.35612453514</v>
      </c>
      <c r="G51" s="487">
        <f t="shared" si="15"/>
        <v>78211.588256680203</v>
      </c>
      <c r="H51" s="456">
        <f t="shared" si="16"/>
        <v>78211.588256680203</v>
      </c>
      <c r="I51" s="476">
        <f t="shared" si="18"/>
        <v>0</v>
      </c>
      <c r="J51" s="476"/>
      <c r="K51" s="488"/>
      <c r="L51" s="479">
        <f t="shared" si="19"/>
        <v>0</v>
      </c>
      <c r="M51" s="488"/>
      <c r="N51" s="479">
        <f t="shared" si="20"/>
        <v>0</v>
      </c>
      <c r="O51" s="479">
        <f t="shared" si="21"/>
        <v>0</v>
      </c>
      <c r="P51" s="243"/>
    </row>
    <row r="52" spans="2:16" ht="12.5">
      <c r="B52" s="160" t="str">
        <f t="shared" si="6"/>
        <v/>
      </c>
      <c r="C52" s="473">
        <f>IF(D11="","-",+C51+1)</f>
        <v>2043</v>
      </c>
      <c r="D52" s="486">
        <f>IF(F51+SUM(E$17:E51)=D$10,F51,D$10-SUM(E$17:E51))</f>
        <v>354755.35612453514</v>
      </c>
      <c r="E52" s="485">
        <f>IF(+I14&lt;F51,I14,D52)</f>
        <v>35360.511627906977</v>
      </c>
      <c r="F52" s="486">
        <f t="shared" si="17"/>
        <v>319394.84449662815</v>
      </c>
      <c r="G52" s="487">
        <f t="shared" si="15"/>
        <v>74143.137375967082</v>
      </c>
      <c r="H52" s="456">
        <f t="shared" si="16"/>
        <v>74143.137375967082</v>
      </c>
      <c r="I52" s="476">
        <f t="shared" si="18"/>
        <v>0</v>
      </c>
      <c r="J52" s="476"/>
      <c r="K52" s="488"/>
      <c r="L52" s="479">
        <f t="shared" si="19"/>
        <v>0</v>
      </c>
      <c r="M52" s="488"/>
      <c r="N52" s="479">
        <f t="shared" si="20"/>
        <v>0</v>
      </c>
      <c r="O52" s="479">
        <f t="shared" si="21"/>
        <v>0</v>
      </c>
      <c r="P52" s="243"/>
    </row>
    <row r="53" spans="2:16" ht="12.5">
      <c r="B53" s="160" t="str">
        <f t="shared" si="6"/>
        <v/>
      </c>
      <c r="C53" s="473">
        <f>IF(D11="","-",+C52+1)</f>
        <v>2044</v>
      </c>
      <c r="D53" s="486">
        <f>IF(F52+SUM(E$17:E52)=D$10,F52,D$10-SUM(E$17:E52))</f>
        <v>319394.84449662815</v>
      </c>
      <c r="E53" s="485">
        <f>IF(+I14&lt;F52,I14,D53)</f>
        <v>35360.511627906977</v>
      </c>
      <c r="F53" s="486">
        <f t="shared" si="17"/>
        <v>284034.33286872116</v>
      </c>
      <c r="G53" s="487">
        <f t="shared" si="15"/>
        <v>70074.686495253991</v>
      </c>
      <c r="H53" s="456">
        <f t="shared" si="16"/>
        <v>70074.686495253991</v>
      </c>
      <c r="I53" s="476">
        <f t="shared" si="18"/>
        <v>0</v>
      </c>
      <c r="J53" s="476"/>
      <c r="K53" s="488"/>
      <c r="L53" s="479">
        <f t="shared" si="19"/>
        <v>0</v>
      </c>
      <c r="M53" s="488"/>
      <c r="N53" s="479">
        <f t="shared" si="20"/>
        <v>0</v>
      </c>
      <c r="O53" s="479">
        <f t="shared" si="21"/>
        <v>0</v>
      </c>
      <c r="P53" s="243"/>
    </row>
    <row r="54" spans="2:16" ht="12.5">
      <c r="B54" s="160" t="str">
        <f t="shared" si="6"/>
        <v/>
      </c>
      <c r="C54" s="473">
        <f>IF(D11="","-",+C53+1)</f>
        <v>2045</v>
      </c>
      <c r="D54" s="486">
        <f>IF(F53+SUM(E$17:E53)=D$10,F53,D$10-SUM(E$17:E53))</f>
        <v>284034.33286872116</v>
      </c>
      <c r="E54" s="485">
        <f>IF(+I14&lt;F53,I14,D54)</f>
        <v>35360.511627906977</v>
      </c>
      <c r="F54" s="486">
        <f t="shared" si="17"/>
        <v>248673.82124081417</v>
      </c>
      <c r="G54" s="487">
        <f t="shared" si="15"/>
        <v>66006.23561454087</v>
      </c>
      <c r="H54" s="456">
        <f t="shared" si="16"/>
        <v>66006.23561454087</v>
      </c>
      <c r="I54" s="476">
        <f t="shared" si="18"/>
        <v>0</v>
      </c>
      <c r="J54" s="476"/>
      <c r="K54" s="488"/>
      <c r="L54" s="479">
        <f t="shared" si="19"/>
        <v>0</v>
      </c>
      <c r="M54" s="488"/>
      <c r="N54" s="479">
        <f t="shared" si="20"/>
        <v>0</v>
      </c>
      <c r="O54" s="479">
        <f t="shared" si="21"/>
        <v>0</v>
      </c>
      <c r="P54" s="243"/>
    </row>
    <row r="55" spans="2:16" ht="12.5">
      <c r="B55" s="160" t="str">
        <f t="shared" si="6"/>
        <v/>
      </c>
      <c r="C55" s="473">
        <f>IF(D11="","-",+C54+1)</f>
        <v>2046</v>
      </c>
      <c r="D55" s="486">
        <f>IF(F54+SUM(E$17:E54)=D$10,F54,D$10-SUM(E$17:E54))</f>
        <v>248673.82124081417</v>
      </c>
      <c r="E55" s="485">
        <f>IF(+I14&lt;F54,I14,D55)</f>
        <v>35360.511627906977</v>
      </c>
      <c r="F55" s="486">
        <f t="shared" si="17"/>
        <v>213313.30961290718</v>
      </c>
      <c r="G55" s="487">
        <f t="shared" si="15"/>
        <v>61937.784733827772</v>
      </c>
      <c r="H55" s="456">
        <f t="shared" si="16"/>
        <v>61937.784733827772</v>
      </c>
      <c r="I55" s="476">
        <f t="shared" si="18"/>
        <v>0</v>
      </c>
      <c r="J55" s="476"/>
      <c r="K55" s="488"/>
      <c r="L55" s="479">
        <f t="shared" si="19"/>
        <v>0</v>
      </c>
      <c r="M55" s="488"/>
      <c r="N55" s="479">
        <f t="shared" si="20"/>
        <v>0</v>
      </c>
      <c r="O55" s="479">
        <f t="shared" si="21"/>
        <v>0</v>
      </c>
      <c r="P55" s="243"/>
    </row>
    <row r="56" spans="2:16" ht="12.5">
      <c r="B56" s="160" t="str">
        <f t="shared" si="6"/>
        <v/>
      </c>
      <c r="C56" s="473">
        <f>IF(D11="","-",+C55+1)</f>
        <v>2047</v>
      </c>
      <c r="D56" s="486">
        <f>IF(F55+SUM(E$17:E55)=D$10,F55,D$10-SUM(E$17:E55))</f>
        <v>213313.30961290718</v>
      </c>
      <c r="E56" s="485">
        <f>IF(+I14&lt;F55,I14,D56)</f>
        <v>35360.511627906977</v>
      </c>
      <c r="F56" s="486">
        <f t="shared" si="17"/>
        <v>177952.79798500019</v>
      </c>
      <c r="G56" s="487">
        <f t="shared" si="15"/>
        <v>57869.333853114666</v>
      </c>
      <c r="H56" s="456">
        <f t="shared" si="16"/>
        <v>57869.333853114666</v>
      </c>
      <c r="I56" s="476">
        <f t="shared" si="18"/>
        <v>0</v>
      </c>
      <c r="J56" s="476"/>
      <c r="K56" s="488"/>
      <c r="L56" s="479">
        <f t="shared" si="19"/>
        <v>0</v>
      </c>
      <c r="M56" s="488"/>
      <c r="N56" s="479">
        <f t="shared" si="20"/>
        <v>0</v>
      </c>
      <c r="O56" s="479">
        <f t="shared" si="21"/>
        <v>0</v>
      </c>
      <c r="P56" s="243"/>
    </row>
    <row r="57" spans="2:16" ht="12.5">
      <c r="B57" s="160" t="str">
        <f t="shared" si="6"/>
        <v/>
      </c>
      <c r="C57" s="473">
        <f>IF(D11="","-",+C56+1)</f>
        <v>2048</v>
      </c>
      <c r="D57" s="486">
        <f>IF(F56+SUM(E$17:E56)=D$10,F56,D$10-SUM(E$17:E56))</f>
        <v>177952.79798500019</v>
      </c>
      <c r="E57" s="485">
        <f>IF(+I14&lt;F56,I14,D57)</f>
        <v>35360.511627906977</v>
      </c>
      <c r="F57" s="486">
        <f t="shared" si="17"/>
        <v>142592.28635709319</v>
      </c>
      <c r="G57" s="487">
        <f t="shared" si="15"/>
        <v>53800.88297240156</v>
      </c>
      <c r="H57" s="456">
        <f t="shared" si="16"/>
        <v>53800.88297240156</v>
      </c>
      <c r="I57" s="476">
        <f t="shared" si="18"/>
        <v>0</v>
      </c>
      <c r="J57" s="476"/>
      <c r="K57" s="488"/>
      <c r="L57" s="479">
        <f t="shared" si="19"/>
        <v>0</v>
      </c>
      <c r="M57" s="488"/>
      <c r="N57" s="479">
        <f t="shared" si="20"/>
        <v>0</v>
      </c>
      <c r="O57" s="479">
        <f t="shared" si="21"/>
        <v>0</v>
      </c>
      <c r="P57" s="243"/>
    </row>
    <row r="58" spans="2:16" ht="12.5">
      <c r="B58" s="160" t="str">
        <f t="shared" si="6"/>
        <v/>
      </c>
      <c r="C58" s="473">
        <f>IF(D11="","-",+C57+1)</f>
        <v>2049</v>
      </c>
      <c r="D58" s="486">
        <f>IF(F57+SUM(E$17:E57)=D$10,F57,D$10-SUM(E$17:E57))</f>
        <v>142592.28635709319</v>
      </c>
      <c r="E58" s="485">
        <f>IF(+I14&lt;F57,I14,D58)</f>
        <v>35360.511627906977</v>
      </c>
      <c r="F58" s="486">
        <f t="shared" si="17"/>
        <v>107231.77472918622</v>
      </c>
      <c r="G58" s="487">
        <f t="shared" si="15"/>
        <v>49732.432091688454</v>
      </c>
      <c r="H58" s="456">
        <f t="shared" si="16"/>
        <v>49732.432091688454</v>
      </c>
      <c r="I58" s="476">
        <f t="shared" si="18"/>
        <v>0</v>
      </c>
      <c r="J58" s="476"/>
      <c r="K58" s="488"/>
      <c r="L58" s="479">
        <f t="shared" si="19"/>
        <v>0</v>
      </c>
      <c r="M58" s="488"/>
      <c r="N58" s="479">
        <f t="shared" si="20"/>
        <v>0</v>
      </c>
      <c r="O58" s="479">
        <f t="shared" si="21"/>
        <v>0</v>
      </c>
      <c r="P58" s="243"/>
    </row>
    <row r="59" spans="2:16" ht="12.5">
      <c r="B59" s="160" t="str">
        <f t="shared" si="6"/>
        <v/>
      </c>
      <c r="C59" s="473">
        <f>IF(D11="","-",+C58+1)</f>
        <v>2050</v>
      </c>
      <c r="D59" s="486">
        <f>IF(F58+SUM(E$17:E58)=D$10,F58,D$10-SUM(E$17:E58))</f>
        <v>107231.77472918622</v>
      </c>
      <c r="E59" s="485">
        <f>IF(+I14&lt;F58,I14,D59)</f>
        <v>35360.511627906977</v>
      </c>
      <c r="F59" s="486">
        <f t="shared" si="17"/>
        <v>71871.263101279241</v>
      </c>
      <c r="G59" s="487">
        <f t="shared" si="15"/>
        <v>45663.981210975347</v>
      </c>
      <c r="H59" s="456">
        <f t="shared" si="16"/>
        <v>45663.981210975347</v>
      </c>
      <c r="I59" s="476">
        <f t="shared" si="18"/>
        <v>0</v>
      </c>
      <c r="J59" s="476"/>
      <c r="K59" s="488"/>
      <c r="L59" s="479">
        <f t="shared" si="19"/>
        <v>0</v>
      </c>
      <c r="M59" s="488"/>
      <c r="N59" s="479">
        <f t="shared" si="20"/>
        <v>0</v>
      </c>
      <c r="O59" s="479">
        <f t="shared" si="21"/>
        <v>0</v>
      </c>
      <c r="P59" s="243"/>
    </row>
    <row r="60" spans="2:16" ht="12.5">
      <c r="B60" s="160" t="str">
        <f t="shared" si="6"/>
        <v/>
      </c>
      <c r="C60" s="473">
        <f>IF(D11="","-",+C59+1)</f>
        <v>2051</v>
      </c>
      <c r="D60" s="486">
        <f>IF(F59+SUM(E$17:E59)=D$10,F59,D$10-SUM(E$17:E59))</f>
        <v>71871.263101279241</v>
      </c>
      <c r="E60" s="485">
        <f>IF(+I14&lt;F59,I14,D60)</f>
        <v>35360.511627906977</v>
      </c>
      <c r="F60" s="486">
        <f t="shared" si="17"/>
        <v>36510.751473372264</v>
      </c>
      <c r="G60" s="487">
        <f t="shared" si="15"/>
        <v>41595.530330262241</v>
      </c>
      <c r="H60" s="456">
        <f t="shared" si="16"/>
        <v>41595.530330262241</v>
      </c>
      <c r="I60" s="476">
        <f t="shared" si="18"/>
        <v>0</v>
      </c>
      <c r="J60" s="476"/>
      <c r="K60" s="488"/>
      <c r="L60" s="479">
        <f t="shared" si="19"/>
        <v>0</v>
      </c>
      <c r="M60" s="488"/>
      <c r="N60" s="479">
        <f t="shared" si="20"/>
        <v>0</v>
      </c>
      <c r="O60" s="479">
        <f t="shared" si="21"/>
        <v>0</v>
      </c>
      <c r="P60" s="243"/>
    </row>
    <row r="61" spans="2:16" ht="12.5">
      <c r="B61" s="160" t="str">
        <f t="shared" si="6"/>
        <v/>
      </c>
      <c r="C61" s="473">
        <f>IF(D11="","-",+C60+1)</f>
        <v>2052</v>
      </c>
      <c r="D61" s="486">
        <f>IF(F60+SUM(E$17:E60)=D$10,F60,D$10-SUM(E$17:E60))</f>
        <v>36510.751473372264</v>
      </c>
      <c r="E61" s="485">
        <f>IF(+I14&lt;F60,I14,D61)</f>
        <v>35360.511627906977</v>
      </c>
      <c r="F61" s="486">
        <f t="shared" si="17"/>
        <v>1150.2398454652866</v>
      </c>
      <c r="G61" s="487">
        <f t="shared" si="15"/>
        <v>37527.079449549135</v>
      </c>
      <c r="H61" s="456">
        <f t="shared" si="16"/>
        <v>37527.079449549135</v>
      </c>
      <c r="I61" s="476">
        <f t="shared" si="18"/>
        <v>0</v>
      </c>
      <c r="J61" s="476"/>
      <c r="K61" s="488"/>
      <c r="L61" s="479">
        <f t="shared" si="19"/>
        <v>0</v>
      </c>
      <c r="M61" s="488"/>
      <c r="N61" s="479">
        <f t="shared" si="20"/>
        <v>0</v>
      </c>
      <c r="O61" s="479">
        <f t="shared" si="21"/>
        <v>0</v>
      </c>
      <c r="P61" s="243"/>
    </row>
    <row r="62" spans="2:16" ht="12.5">
      <c r="B62" s="160" t="str">
        <f t="shared" si="6"/>
        <v/>
      </c>
      <c r="C62" s="473">
        <f>IF(D11="","-",+C61+1)</f>
        <v>2053</v>
      </c>
      <c r="D62" s="486">
        <f>IF(F61+SUM(E$17:E61)=D$10,F61,D$10-SUM(E$17:E61))</f>
        <v>1150.2398454652866</v>
      </c>
      <c r="E62" s="485">
        <f>IF(+I14&lt;F61,I14,D62)</f>
        <v>1150.2398454652866</v>
      </c>
      <c r="F62" s="486">
        <f t="shared" si="17"/>
        <v>0</v>
      </c>
      <c r="G62" s="487">
        <f t="shared" si="15"/>
        <v>1216.4110361080893</v>
      </c>
      <c r="H62" s="456">
        <f t="shared" si="16"/>
        <v>1216.4110361080893</v>
      </c>
      <c r="I62" s="476">
        <f t="shared" si="18"/>
        <v>0</v>
      </c>
      <c r="J62" s="476"/>
      <c r="K62" s="488"/>
      <c r="L62" s="479">
        <f t="shared" si="19"/>
        <v>0</v>
      </c>
      <c r="M62" s="488"/>
      <c r="N62" s="479">
        <f t="shared" si="20"/>
        <v>0</v>
      </c>
      <c r="O62" s="479">
        <f t="shared" si="21"/>
        <v>0</v>
      </c>
      <c r="P62" s="243"/>
    </row>
    <row r="63" spans="2:16" ht="12.5">
      <c r="B63" s="160" t="str">
        <f t="shared" si="6"/>
        <v/>
      </c>
      <c r="C63" s="473">
        <f>IF(D11="","-",+C62+1)</f>
        <v>2054</v>
      </c>
      <c r="D63" s="486">
        <f>IF(F62+SUM(E$17:E62)=D$10,F62,D$10-SUM(E$17:E62))</f>
        <v>0</v>
      </c>
      <c r="E63" s="485">
        <f>IF(+I14&lt;F62,I14,D63)</f>
        <v>0</v>
      </c>
      <c r="F63" s="486">
        <f t="shared" si="17"/>
        <v>0</v>
      </c>
      <c r="G63" s="487">
        <f t="shared" si="15"/>
        <v>0</v>
      </c>
      <c r="H63" s="456">
        <f t="shared" si="16"/>
        <v>0</v>
      </c>
      <c r="I63" s="476">
        <f t="shared" si="18"/>
        <v>0</v>
      </c>
      <c r="J63" s="476"/>
      <c r="K63" s="488"/>
      <c r="L63" s="479">
        <f t="shared" si="19"/>
        <v>0</v>
      </c>
      <c r="M63" s="488"/>
      <c r="N63" s="479">
        <f t="shared" si="20"/>
        <v>0</v>
      </c>
      <c r="O63" s="479">
        <f t="shared" si="21"/>
        <v>0</v>
      </c>
      <c r="P63" s="243"/>
    </row>
    <row r="64" spans="2:16" ht="12.5">
      <c r="B64" s="160" t="str">
        <f t="shared" si="6"/>
        <v/>
      </c>
      <c r="C64" s="473">
        <f>IF(D11="","-",+C63+1)</f>
        <v>2055</v>
      </c>
      <c r="D64" s="486">
        <f>IF(F63+SUM(E$17:E63)=D$10,F63,D$10-SUM(E$17:E63))</f>
        <v>0</v>
      </c>
      <c r="E64" s="485">
        <f>IF(+I14&lt;F63,I14,D64)</f>
        <v>0</v>
      </c>
      <c r="F64" s="486">
        <f t="shared" si="17"/>
        <v>0</v>
      </c>
      <c r="G64" s="487">
        <f t="shared" si="15"/>
        <v>0</v>
      </c>
      <c r="H64" s="456">
        <f t="shared" si="16"/>
        <v>0</v>
      </c>
      <c r="I64" s="476">
        <f t="shared" si="18"/>
        <v>0</v>
      </c>
      <c r="J64" s="476"/>
      <c r="K64" s="488"/>
      <c r="L64" s="479">
        <f t="shared" si="19"/>
        <v>0</v>
      </c>
      <c r="M64" s="488"/>
      <c r="N64" s="479">
        <f t="shared" si="20"/>
        <v>0</v>
      </c>
      <c r="O64" s="479">
        <f t="shared" si="21"/>
        <v>0</v>
      </c>
      <c r="P64" s="243"/>
    </row>
    <row r="65" spans="2:16" ht="12.5">
      <c r="B65" s="160" t="str">
        <f t="shared" si="6"/>
        <v/>
      </c>
      <c r="C65" s="473">
        <f>IF(D11="","-",+C64+1)</f>
        <v>2056</v>
      </c>
      <c r="D65" s="486">
        <f>IF(F64+SUM(E$17:E64)=D$10,F64,D$10-SUM(E$17:E64))</f>
        <v>0</v>
      </c>
      <c r="E65" s="485">
        <f>IF(+I14&lt;F64,I14,D65)</f>
        <v>0</v>
      </c>
      <c r="F65" s="486">
        <f t="shared" si="17"/>
        <v>0</v>
      </c>
      <c r="G65" s="487">
        <f t="shared" si="15"/>
        <v>0</v>
      </c>
      <c r="H65" s="456">
        <f t="shared" si="16"/>
        <v>0</v>
      </c>
      <c r="I65" s="476">
        <f t="shared" si="18"/>
        <v>0</v>
      </c>
      <c r="J65" s="476"/>
      <c r="K65" s="488"/>
      <c r="L65" s="479">
        <f t="shared" si="19"/>
        <v>0</v>
      </c>
      <c r="M65" s="488"/>
      <c r="N65" s="479">
        <f t="shared" si="20"/>
        <v>0</v>
      </c>
      <c r="O65" s="479">
        <f t="shared" si="21"/>
        <v>0</v>
      </c>
      <c r="P65" s="243"/>
    </row>
    <row r="66" spans="2:16" ht="12.5">
      <c r="B66" s="160" t="str">
        <f t="shared" si="6"/>
        <v/>
      </c>
      <c r="C66" s="473">
        <f>IF(D11="","-",+C65+1)</f>
        <v>2057</v>
      </c>
      <c r="D66" s="486">
        <f>IF(F65+SUM(E$17:E65)=D$10,F65,D$10-SUM(E$17:E65))</f>
        <v>0</v>
      </c>
      <c r="E66" s="485">
        <f>IF(+I14&lt;F65,I14,D66)</f>
        <v>0</v>
      </c>
      <c r="F66" s="486">
        <f t="shared" si="17"/>
        <v>0</v>
      </c>
      <c r="G66" s="487">
        <f t="shared" si="15"/>
        <v>0</v>
      </c>
      <c r="H66" s="456">
        <f t="shared" si="16"/>
        <v>0</v>
      </c>
      <c r="I66" s="476">
        <f t="shared" si="18"/>
        <v>0</v>
      </c>
      <c r="J66" s="476"/>
      <c r="K66" s="488"/>
      <c r="L66" s="479">
        <f t="shared" si="19"/>
        <v>0</v>
      </c>
      <c r="M66" s="488"/>
      <c r="N66" s="479">
        <f t="shared" si="20"/>
        <v>0</v>
      </c>
      <c r="O66" s="479">
        <f t="shared" si="21"/>
        <v>0</v>
      </c>
      <c r="P66" s="243"/>
    </row>
    <row r="67" spans="2:16" ht="12.5">
      <c r="B67" s="160" t="str">
        <f t="shared" si="6"/>
        <v/>
      </c>
      <c r="C67" s="473">
        <f>IF(D11="","-",+C66+1)</f>
        <v>2058</v>
      </c>
      <c r="D67" s="486">
        <f>IF(F66+SUM(E$17:E66)=D$10,F66,D$10-SUM(E$17:E66))</f>
        <v>0</v>
      </c>
      <c r="E67" s="485">
        <f>IF(+I14&lt;F66,I14,D67)</f>
        <v>0</v>
      </c>
      <c r="F67" s="486">
        <f t="shared" si="17"/>
        <v>0</v>
      </c>
      <c r="G67" s="487">
        <f t="shared" si="15"/>
        <v>0</v>
      </c>
      <c r="H67" s="456">
        <f t="shared" si="16"/>
        <v>0</v>
      </c>
      <c r="I67" s="476">
        <f t="shared" si="18"/>
        <v>0</v>
      </c>
      <c r="J67" s="476"/>
      <c r="K67" s="488"/>
      <c r="L67" s="479">
        <f t="shared" si="19"/>
        <v>0</v>
      </c>
      <c r="M67" s="488"/>
      <c r="N67" s="479">
        <f t="shared" si="20"/>
        <v>0</v>
      </c>
      <c r="O67" s="479">
        <f t="shared" si="21"/>
        <v>0</v>
      </c>
      <c r="P67" s="243"/>
    </row>
    <row r="68" spans="2:16" ht="12.5">
      <c r="B68" s="160" t="str">
        <f t="shared" si="6"/>
        <v/>
      </c>
      <c r="C68" s="473">
        <f>IF(D11="","-",+C67+1)</f>
        <v>2059</v>
      </c>
      <c r="D68" s="486">
        <f>IF(F67+SUM(E$17:E67)=D$10,F67,D$10-SUM(E$17:E67))</f>
        <v>0</v>
      </c>
      <c r="E68" s="485">
        <f>IF(+I14&lt;F67,I14,D68)</f>
        <v>0</v>
      </c>
      <c r="F68" s="486">
        <f t="shared" si="17"/>
        <v>0</v>
      </c>
      <c r="G68" s="487">
        <f t="shared" si="15"/>
        <v>0</v>
      </c>
      <c r="H68" s="456">
        <f t="shared" si="16"/>
        <v>0</v>
      </c>
      <c r="I68" s="476">
        <f t="shared" si="18"/>
        <v>0</v>
      </c>
      <c r="J68" s="476"/>
      <c r="K68" s="488"/>
      <c r="L68" s="479">
        <f t="shared" si="19"/>
        <v>0</v>
      </c>
      <c r="M68" s="488"/>
      <c r="N68" s="479">
        <f t="shared" si="20"/>
        <v>0</v>
      </c>
      <c r="O68" s="479">
        <f t="shared" si="21"/>
        <v>0</v>
      </c>
      <c r="P68" s="243"/>
    </row>
    <row r="69" spans="2:16" ht="12.5">
      <c r="B69" s="160" t="str">
        <f t="shared" si="6"/>
        <v/>
      </c>
      <c r="C69" s="473">
        <f>IF(D11="","-",+C68+1)</f>
        <v>2060</v>
      </c>
      <c r="D69" s="486">
        <f>IF(F68+SUM(E$17:E68)=D$10,F68,D$10-SUM(E$17:E68))</f>
        <v>0</v>
      </c>
      <c r="E69" s="485">
        <f>IF(+I14&lt;F68,I14,D69)</f>
        <v>0</v>
      </c>
      <c r="F69" s="486">
        <f t="shared" si="17"/>
        <v>0</v>
      </c>
      <c r="G69" s="487">
        <f t="shared" si="15"/>
        <v>0</v>
      </c>
      <c r="H69" s="456">
        <f t="shared" si="16"/>
        <v>0</v>
      </c>
      <c r="I69" s="476">
        <f t="shared" si="18"/>
        <v>0</v>
      </c>
      <c r="J69" s="476"/>
      <c r="K69" s="488"/>
      <c r="L69" s="479">
        <f t="shared" si="19"/>
        <v>0</v>
      </c>
      <c r="M69" s="488"/>
      <c r="N69" s="479">
        <f t="shared" si="20"/>
        <v>0</v>
      </c>
      <c r="O69" s="479">
        <f t="shared" si="21"/>
        <v>0</v>
      </c>
      <c r="P69" s="243"/>
    </row>
    <row r="70" spans="2:16" ht="12.5">
      <c r="B70" s="160" t="str">
        <f t="shared" si="6"/>
        <v/>
      </c>
      <c r="C70" s="473">
        <f>IF(D11="","-",+C69+1)</f>
        <v>2061</v>
      </c>
      <c r="D70" s="486">
        <f>IF(F69+SUM(E$17:E69)=D$10,F69,D$10-SUM(E$17:E69))</f>
        <v>0</v>
      </c>
      <c r="E70" s="485">
        <f>IF(+I14&lt;F69,I14,D70)</f>
        <v>0</v>
      </c>
      <c r="F70" s="486">
        <f t="shared" si="17"/>
        <v>0</v>
      </c>
      <c r="G70" s="487">
        <f t="shared" si="15"/>
        <v>0</v>
      </c>
      <c r="H70" s="456">
        <f t="shared" si="16"/>
        <v>0</v>
      </c>
      <c r="I70" s="476">
        <f t="shared" si="18"/>
        <v>0</v>
      </c>
      <c r="J70" s="476"/>
      <c r="K70" s="488"/>
      <c r="L70" s="479">
        <f t="shared" si="19"/>
        <v>0</v>
      </c>
      <c r="M70" s="488"/>
      <c r="N70" s="479">
        <f t="shared" si="20"/>
        <v>0</v>
      </c>
      <c r="O70" s="479">
        <f t="shared" si="21"/>
        <v>0</v>
      </c>
      <c r="P70" s="243"/>
    </row>
    <row r="71" spans="2:16" ht="12.5">
      <c r="B71" s="160" t="str">
        <f t="shared" si="6"/>
        <v/>
      </c>
      <c r="C71" s="473">
        <f>IF(D11="","-",+C70+1)</f>
        <v>2062</v>
      </c>
      <c r="D71" s="486">
        <f>IF(F70+SUM(E$17:E70)=D$10,F70,D$10-SUM(E$17:E70))</f>
        <v>0</v>
      </c>
      <c r="E71" s="485">
        <f>IF(+I14&lt;F70,I14,D71)</f>
        <v>0</v>
      </c>
      <c r="F71" s="486">
        <f t="shared" si="17"/>
        <v>0</v>
      </c>
      <c r="G71" s="487">
        <f t="shared" si="15"/>
        <v>0</v>
      </c>
      <c r="H71" s="456">
        <f t="shared" si="16"/>
        <v>0</v>
      </c>
      <c r="I71" s="476">
        <f t="shared" si="18"/>
        <v>0</v>
      </c>
      <c r="J71" s="476"/>
      <c r="K71" s="488"/>
      <c r="L71" s="479">
        <f t="shared" si="19"/>
        <v>0</v>
      </c>
      <c r="M71" s="488"/>
      <c r="N71" s="479">
        <f t="shared" si="20"/>
        <v>0</v>
      </c>
      <c r="O71" s="479">
        <f t="shared" si="21"/>
        <v>0</v>
      </c>
      <c r="P71" s="243"/>
    </row>
    <row r="72" spans="2:16" ht="13" thickBot="1">
      <c r="B72" s="160" t="str">
        <f t="shared" si="6"/>
        <v/>
      </c>
      <c r="C72" s="490">
        <f>IF(D11="","-",+C71+1)</f>
        <v>2063</v>
      </c>
      <c r="D72" s="491">
        <f>IF(F71+SUM(E$17:E71)=D$10,F71,D$10-SUM(E$17:E71))</f>
        <v>0</v>
      </c>
      <c r="E72" s="492">
        <f>IF(+I14&lt;F71,I14,D72)</f>
        <v>0</v>
      </c>
      <c r="F72" s="491">
        <f t="shared" si="17"/>
        <v>0</v>
      </c>
      <c r="G72" s="491">
        <f t="shared" si="15"/>
        <v>0</v>
      </c>
      <c r="H72" s="491">
        <f t="shared" si="16"/>
        <v>0</v>
      </c>
      <c r="I72" s="494">
        <f t="shared" si="18"/>
        <v>0</v>
      </c>
      <c r="J72" s="476"/>
      <c r="K72" s="495"/>
      <c r="L72" s="496">
        <f t="shared" si="19"/>
        <v>0</v>
      </c>
      <c r="M72" s="495"/>
      <c r="N72" s="496">
        <f t="shared" si="20"/>
        <v>0</v>
      </c>
      <c r="O72" s="496">
        <f t="shared" si="21"/>
        <v>0</v>
      </c>
      <c r="P72" s="243"/>
    </row>
    <row r="73" spans="2:16" ht="12.5">
      <c r="C73" s="347" t="s">
        <v>77</v>
      </c>
      <c r="D73" s="348"/>
      <c r="E73" s="348">
        <f>SUM(E17:E72)</f>
        <v>1520501.9999999995</v>
      </c>
      <c r="F73" s="348"/>
      <c r="G73" s="348">
        <f>SUM(G17:G72)</f>
        <v>5762369.8948414819</v>
      </c>
      <c r="H73" s="348">
        <f>SUM(H17:H72)</f>
        <v>5762369.8948414819</v>
      </c>
      <c r="I73" s="348">
        <f>SUM(I17:I72)</f>
        <v>0</v>
      </c>
      <c r="J73" s="348"/>
      <c r="K73" s="348"/>
      <c r="L73" s="348"/>
      <c r="M73" s="348"/>
      <c r="N73" s="348"/>
      <c r="O73" s="243"/>
      <c r="P73" s="243"/>
    </row>
    <row r="74" spans="2:16" ht="12.5">
      <c r="D74" s="241"/>
      <c r="E74" s="233"/>
      <c r="F74" s="233"/>
      <c r="G74" s="233"/>
      <c r="H74" s="242"/>
      <c r="I74" s="242"/>
      <c r="J74" s="348"/>
      <c r="K74" s="242"/>
      <c r="L74" s="242"/>
      <c r="M74" s="242"/>
      <c r="N74" s="242"/>
      <c r="O74" s="233"/>
      <c r="P74" s="233"/>
    </row>
    <row r="75" spans="2:16" ht="13">
      <c r="C75" s="497" t="s">
        <v>106</v>
      </c>
      <c r="D75" s="241"/>
      <c r="E75" s="233"/>
      <c r="F75" s="233"/>
      <c r="G75" s="233"/>
      <c r="H75" s="242"/>
      <c r="I75" s="242"/>
      <c r="J75" s="348"/>
      <c r="K75" s="242"/>
      <c r="L75" s="242"/>
      <c r="M75" s="242"/>
      <c r="N75" s="242"/>
      <c r="O75" s="233"/>
      <c r="P75" s="233"/>
    </row>
    <row r="76" spans="2:16" ht="13">
      <c r="C76" s="432" t="s">
        <v>78</v>
      </c>
      <c r="D76" s="241"/>
      <c r="E76" s="233"/>
      <c r="F76" s="233"/>
      <c r="G76" s="233"/>
      <c r="H76" s="242"/>
      <c r="I76" s="242"/>
      <c r="J76" s="348"/>
      <c r="K76" s="242"/>
      <c r="L76" s="242"/>
      <c r="M76" s="242"/>
      <c r="N76" s="242"/>
      <c r="O76" s="243"/>
      <c r="P76" s="243"/>
    </row>
    <row r="77" spans="2:16" ht="13">
      <c r="C77" s="432" t="s">
        <v>79</v>
      </c>
      <c r="D77" s="347"/>
      <c r="E77" s="347"/>
      <c r="F77" s="347"/>
      <c r="G77" s="348"/>
      <c r="H77" s="348"/>
      <c r="I77" s="349"/>
      <c r="J77" s="349"/>
      <c r="K77" s="349"/>
      <c r="L77" s="349"/>
      <c r="M77" s="349"/>
      <c r="N77" s="349"/>
      <c r="O77" s="243"/>
      <c r="P77" s="243"/>
    </row>
    <row r="78" spans="2:16" ht="13">
      <c r="C78" s="432"/>
      <c r="D78" s="347"/>
      <c r="E78" s="347"/>
      <c r="F78" s="347"/>
      <c r="G78" s="348"/>
      <c r="H78" s="348"/>
      <c r="I78" s="349"/>
      <c r="J78" s="349"/>
      <c r="K78" s="349"/>
      <c r="L78" s="349"/>
      <c r="M78" s="349"/>
      <c r="N78" s="349"/>
      <c r="O78" s="243"/>
      <c r="P78" s="233"/>
    </row>
    <row r="79" spans="2:16" ht="12.5">
      <c r="B79" s="233"/>
      <c r="C79" s="312"/>
      <c r="D79" s="241"/>
      <c r="E79" s="233"/>
      <c r="F79" s="345"/>
      <c r="G79" s="233"/>
      <c r="H79" s="242"/>
      <c r="I79" s="233"/>
      <c r="J79" s="243"/>
      <c r="K79" s="233"/>
      <c r="L79" s="233"/>
      <c r="M79" s="233"/>
      <c r="N79" s="233"/>
      <c r="O79" s="233"/>
      <c r="P79" s="233"/>
    </row>
    <row r="80" spans="2:16" ht="17.5">
      <c r="B80" s="233"/>
      <c r="C80" s="500"/>
      <c r="D80" s="241"/>
      <c r="E80" s="233"/>
      <c r="F80" s="345"/>
      <c r="G80" s="233"/>
      <c r="H80" s="242"/>
      <c r="I80" s="233"/>
      <c r="J80" s="243"/>
      <c r="K80" s="233"/>
      <c r="L80" s="233"/>
      <c r="M80" s="233"/>
      <c r="N80" s="233"/>
      <c r="P80" s="501" t="s">
        <v>144</v>
      </c>
    </row>
    <row r="81" spans="1:16" ht="12.5">
      <c r="B81" s="233"/>
      <c r="C81" s="312"/>
      <c r="D81" s="241"/>
      <c r="E81" s="233"/>
      <c r="F81" s="345"/>
      <c r="G81" s="233"/>
      <c r="H81" s="242"/>
      <c r="I81" s="233"/>
      <c r="J81" s="243"/>
      <c r="K81" s="233"/>
      <c r="L81" s="233"/>
      <c r="M81" s="233"/>
      <c r="N81" s="233"/>
      <c r="O81" s="233"/>
      <c r="P81" s="233"/>
    </row>
    <row r="82" spans="1:16" ht="12.5">
      <c r="B82" s="233"/>
      <c r="C82" s="312"/>
      <c r="D82" s="241"/>
      <c r="E82" s="233"/>
      <c r="F82" s="345"/>
      <c r="G82" s="233"/>
      <c r="H82" s="242"/>
      <c r="I82" s="233"/>
      <c r="J82" s="243"/>
      <c r="K82" s="233"/>
      <c r="L82" s="233"/>
      <c r="M82" s="233"/>
      <c r="N82" s="233"/>
      <c r="O82" s="233"/>
      <c r="P82" s="233"/>
    </row>
    <row r="83" spans="1:16" ht="20">
      <c r="A83" s="416" t="s">
        <v>146</v>
      </c>
      <c r="B83" s="233"/>
      <c r="C83" s="312"/>
      <c r="D83" s="241"/>
      <c r="E83" s="233"/>
      <c r="F83" s="339"/>
      <c r="G83" s="339"/>
      <c r="H83" s="233"/>
      <c r="I83" s="242"/>
      <c r="K83" s="195"/>
      <c r="L83" s="417"/>
      <c r="M83" s="417"/>
      <c r="P83" s="498" t="str">
        <f ca="1">P1</f>
        <v>PSO Project 6 of 28</v>
      </c>
    </row>
    <row r="84" spans="1:16" ht="17.5">
      <c r="B84" s="233"/>
      <c r="C84" s="233"/>
      <c r="D84" s="241"/>
      <c r="E84" s="233"/>
      <c r="F84" s="233"/>
      <c r="G84" s="233"/>
      <c r="H84" s="233"/>
      <c r="I84" s="242"/>
      <c r="J84" s="233"/>
      <c r="K84" s="243"/>
      <c r="L84" s="233"/>
      <c r="M84" s="233"/>
      <c r="P84" s="419" t="s">
        <v>151</v>
      </c>
    </row>
    <row r="85" spans="1:16" ht="17.5" thickBot="1">
      <c r="B85" s="303" t="s">
        <v>42</v>
      </c>
      <c r="C85" s="502" t="s">
        <v>91</v>
      </c>
      <c r="D85" s="241"/>
      <c r="E85" s="233"/>
      <c r="F85" s="233"/>
      <c r="G85" s="233"/>
      <c r="H85" s="233"/>
      <c r="I85" s="242"/>
      <c r="J85" s="242"/>
      <c r="K85" s="348"/>
      <c r="L85" s="242"/>
      <c r="M85" s="242"/>
      <c r="N85" s="242"/>
      <c r="O85" s="348"/>
      <c r="P85" s="233"/>
    </row>
    <row r="86" spans="1:16" ht="16" thickBot="1">
      <c r="C86" s="302"/>
      <c r="D86" s="241"/>
      <c r="E86" s="233"/>
      <c r="F86" s="233"/>
      <c r="G86" s="233"/>
      <c r="H86" s="233"/>
      <c r="I86" s="242"/>
      <c r="J86" s="242"/>
      <c r="K86" s="348"/>
      <c r="L86" s="503">
        <f>+J92</f>
        <v>2020</v>
      </c>
      <c r="M86" s="504" t="s">
        <v>8</v>
      </c>
      <c r="N86" s="505" t="s">
        <v>153</v>
      </c>
      <c r="O86" s="506" t="s">
        <v>10</v>
      </c>
      <c r="P86" s="233"/>
    </row>
    <row r="87" spans="1:16" ht="15.5">
      <c r="C87" s="240" t="s">
        <v>44</v>
      </c>
      <c r="D87" s="241"/>
      <c r="E87" s="233"/>
      <c r="F87" s="233"/>
      <c r="G87" s="233"/>
      <c r="H87" s="422"/>
      <c r="I87" s="233" t="s">
        <v>45</v>
      </c>
      <c r="J87" s="233"/>
      <c r="K87" s="507"/>
      <c r="L87" s="508" t="s">
        <v>154</v>
      </c>
      <c r="M87" s="509">
        <f>IF(J92&lt;D11,0,VLOOKUP(J92,C17:O72,9))</f>
        <v>160493.01101346352</v>
      </c>
      <c r="N87" s="509">
        <f>IF(J92&lt;D11,0,VLOOKUP(J92,C17:O72,11))</f>
        <v>160493.01101346352</v>
      </c>
      <c r="O87" s="510">
        <f>+N87-M87</f>
        <v>0</v>
      </c>
      <c r="P87" s="233"/>
    </row>
    <row r="88" spans="1:16" ht="15.5">
      <c r="C88" s="245"/>
      <c r="D88" s="241"/>
      <c r="E88" s="233"/>
      <c r="F88" s="233"/>
      <c r="G88" s="233"/>
      <c r="H88" s="233"/>
      <c r="I88" s="427"/>
      <c r="J88" s="427"/>
      <c r="K88" s="511"/>
      <c r="L88" s="512" t="s">
        <v>155</v>
      </c>
      <c r="M88" s="513">
        <f>IF(J92&lt;D11,0,VLOOKUP(J92,C99:P154,6))</f>
        <v>167027.75084448946</v>
      </c>
      <c r="N88" s="513">
        <f>IF(J92&lt;D11,0,VLOOKUP(J92,C99:P154,7))</f>
        <v>167027.75084448946</v>
      </c>
      <c r="O88" s="514">
        <f>+N88-M88</f>
        <v>0</v>
      </c>
      <c r="P88" s="233"/>
    </row>
    <row r="89" spans="1:16" ht="13.5" thickBot="1">
      <c r="C89" s="432" t="s">
        <v>92</v>
      </c>
      <c r="D89" s="515" t="str">
        <f>+D7</f>
        <v>Pryor Junction 138/69 Upgrade Transf</v>
      </c>
      <c r="E89" s="233"/>
      <c r="F89" s="233"/>
      <c r="G89" s="233"/>
      <c r="H89" s="233"/>
      <c r="I89" s="242"/>
      <c r="J89" s="242"/>
      <c r="K89" s="516"/>
      <c r="L89" s="517" t="s">
        <v>156</v>
      </c>
      <c r="M89" s="518">
        <f>+M88-M87</f>
        <v>6534.739831025945</v>
      </c>
      <c r="N89" s="518">
        <f>+N88-N87</f>
        <v>6534.739831025945</v>
      </c>
      <c r="O89" s="519">
        <f>+O88-O87</f>
        <v>0</v>
      </c>
      <c r="P89" s="233"/>
    </row>
    <row r="90" spans="1:16" ht="13.5" thickBot="1">
      <c r="C90" s="497"/>
      <c r="D90" s="520">
        <f>D8</f>
        <v>0</v>
      </c>
      <c r="E90" s="345"/>
      <c r="F90" s="345"/>
      <c r="G90" s="345"/>
      <c r="H90" s="439"/>
      <c r="I90" s="242"/>
      <c r="J90" s="242"/>
      <c r="K90" s="348"/>
      <c r="L90" s="242"/>
      <c r="M90" s="242"/>
      <c r="N90" s="242"/>
      <c r="O90" s="348"/>
      <c r="P90" s="233"/>
    </row>
    <row r="91" spans="1:16" ht="13.5" thickBot="1">
      <c r="A91" s="155"/>
      <c r="C91" s="521" t="s">
        <v>93</v>
      </c>
      <c r="D91" s="522" t="str">
        <f>+D9</f>
        <v>TP2006090</v>
      </c>
      <c r="E91" s="523"/>
      <c r="F91" s="523"/>
      <c r="G91" s="523"/>
      <c r="H91" s="523"/>
      <c r="I91" s="523"/>
      <c r="J91" s="523"/>
      <c r="K91" s="525"/>
      <c r="P91" s="446"/>
    </row>
    <row r="92" spans="1:16" ht="13">
      <c r="C92" s="447" t="s">
        <v>226</v>
      </c>
      <c r="D92" s="448">
        <v>1520502</v>
      </c>
      <c r="E92" s="312" t="s">
        <v>94</v>
      </c>
      <c r="H92" s="449"/>
      <c r="I92" s="449"/>
      <c r="J92" s="450">
        <f>+'PSO.WS.G.BPU.ATRR.True-up'!M16</f>
        <v>2020</v>
      </c>
      <c r="K92" s="445"/>
      <c r="L92" s="348" t="s">
        <v>95</v>
      </c>
      <c r="P92" s="243"/>
    </row>
    <row r="93" spans="1:16" ht="12.5">
      <c r="C93" s="451" t="s">
        <v>53</v>
      </c>
      <c r="D93" s="526">
        <f>IF(D11=I10,"",D11)</f>
        <v>2008</v>
      </c>
      <c r="E93" s="451" t="s">
        <v>54</v>
      </c>
      <c r="F93" s="449"/>
      <c r="G93" s="449"/>
      <c r="J93" s="453">
        <f>IF(H87="",0,'PSO.WS.G.BPU.ATRR.True-up'!$F$13)</f>
        <v>0</v>
      </c>
      <c r="K93" s="454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3"/>
    </row>
    <row r="94" spans="1:16" ht="12.5">
      <c r="C94" s="451" t="s">
        <v>55</v>
      </c>
      <c r="D94" s="527">
        <f>IF(D11=I10,"",D12)</f>
        <v>4</v>
      </c>
      <c r="E94" s="451" t="s">
        <v>56</v>
      </c>
      <c r="F94" s="449"/>
      <c r="G94" s="449"/>
      <c r="J94" s="455">
        <f>'PSO.WS.G.BPU.ATRR.True-up'!$F$81</f>
        <v>0.11529725072669136</v>
      </c>
      <c r="K94" s="397"/>
      <c r="L94" s="148" t="s">
        <v>96</v>
      </c>
      <c r="P94" s="243"/>
    </row>
    <row r="95" spans="1:16" ht="12.5">
      <c r="C95" s="451" t="s">
        <v>58</v>
      </c>
      <c r="D95" s="453">
        <f>'PSO.WS.G.BPU.ATRR.True-up'!F$93</f>
        <v>43</v>
      </c>
      <c r="E95" s="451" t="s">
        <v>59</v>
      </c>
      <c r="F95" s="449"/>
      <c r="G95" s="449"/>
      <c r="J95" s="455">
        <f>IF(H87="",J94,'PSO.WS.G.BPU.ATRR.True-up'!$F$80)</f>
        <v>0.11529725072669136</v>
      </c>
      <c r="K95" s="295"/>
      <c r="L95" s="348" t="s">
        <v>60</v>
      </c>
      <c r="M95" s="295"/>
      <c r="N95" s="295"/>
      <c r="O95" s="295"/>
      <c r="P95" s="243"/>
    </row>
    <row r="96" spans="1:16" ht="13" thickBot="1">
      <c r="C96" s="451" t="s">
        <v>61</v>
      </c>
      <c r="D96" s="528" t="str">
        <f>+D14</f>
        <v>No</v>
      </c>
      <c r="E96" s="529" t="s">
        <v>63</v>
      </c>
      <c r="F96" s="530"/>
      <c r="G96" s="530"/>
      <c r="H96" s="531"/>
      <c r="I96" s="531"/>
      <c r="J96" s="436">
        <f>IF(D92=0,0,ROUND(D92/D95,0))</f>
        <v>35361</v>
      </c>
      <c r="K96" s="348"/>
      <c r="L96" s="348"/>
      <c r="M96" s="348"/>
      <c r="N96" s="348"/>
      <c r="O96" s="348"/>
      <c r="P96" s="243"/>
    </row>
    <row r="97" spans="1:16" ht="39">
      <c r="A97" s="375"/>
      <c r="B97" s="375"/>
      <c r="C97" s="532" t="s">
        <v>50</v>
      </c>
      <c r="D97" s="533" t="s">
        <v>64</v>
      </c>
      <c r="E97" s="464" t="s">
        <v>65</v>
      </c>
      <c r="F97" s="464" t="s">
        <v>66</v>
      </c>
      <c r="G97" s="458" t="s">
        <v>101</v>
      </c>
      <c r="H97" s="534" t="s">
        <v>286</v>
      </c>
      <c r="I97" s="462" t="s">
        <v>287</v>
      </c>
      <c r="J97" s="532" t="s">
        <v>98</v>
      </c>
      <c r="K97" s="535"/>
      <c r="L97" s="462" t="s">
        <v>211</v>
      </c>
      <c r="M97" s="464" t="s">
        <v>99</v>
      </c>
      <c r="N97" s="462" t="s">
        <v>211</v>
      </c>
      <c r="O97" s="464" t="s">
        <v>99</v>
      </c>
      <c r="P97" s="464" t="s">
        <v>69</v>
      </c>
    </row>
    <row r="98" spans="1:16" ht="13.5" thickBot="1">
      <c r="C98" s="465" t="s">
        <v>70</v>
      </c>
      <c r="D98" s="536" t="s">
        <v>71</v>
      </c>
      <c r="E98" s="465" t="s">
        <v>72</v>
      </c>
      <c r="F98" s="465" t="s">
        <v>71</v>
      </c>
      <c r="G98" s="465" t="s">
        <v>71</v>
      </c>
      <c r="H98" s="537" t="s">
        <v>73</v>
      </c>
      <c r="I98" s="467" t="s">
        <v>74</v>
      </c>
      <c r="J98" s="468" t="s">
        <v>104</v>
      </c>
      <c r="K98" s="469"/>
      <c r="L98" s="470" t="s">
        <v>76</v>
      </c>
      <c r="M98" s="470" t="s">
        <v>76</v>
      </c>
      <c r="N98" s="470" t="s">
        <v>105</v>
      </c>
      <c r="O98" s="470" t="s">
        <v>105</v>
      </c>
      <c r="P98" s="470" t="s">
        <v>105</v>
      </c>
    </row>
    <row r="99" spans="1:16" ht="12.5">
      <c r="C99" s="473">
        <f>IF(D93= "","-",D93)</f>
        <v>2008</v>
      </c>
      <c r="D99" s="474">
        <v>0</v>
      </c>
      <c r="E99" s="481">
        <v>19125</v>
      </c>
      <c r="F99" s="480">
        <v>1501348</v>
      </c>
      <c r="G99" s="538">
        <v>750764</v>
      </c>
      <c r="H99" s="539">
        <v>138367</v>
      </c>
      <c r="I99" s="540">
        <v>138367</v>
      </c>
      <c r="J99" s="479">
        <f t="shared" ref="J99:J130" si="22">+I99-H99</f>
        <v>0</v>
      </c>
      <c r="K99" s="479"/>
      <c r="L99" s="555">
        <v>138367</v>
      </c>
      <c r="M99" s="478">
        <f t="shared" ref="M99:M130" si="23">IF(L99&lt;&gt;0,+H99-L99,0)</f>
        <v>0</v>
      </c>
      <c r="N99" s="555">
        <v>138367</v>
      </c>
      <c r="O99" s="478">
        <f t="shared" ref="O99:O130" si="24">IF(N99&lt;&gt;0,+I99-N99,0)</f>
        <v>0</v>
      </c>
      <c r="P99" s="478">
        <f t="shared" ref="P99:P130" si="25">+O99-M99</f>
        <v>0</v>
      </c>
    </row>
    <row r="100" spans="1:16" ht="12.5">
      <c r="B100" s="160" t="str">
        <f>IF(D100=F99,"","IU")</f>
        <v>IU</v>
      </c>
      <c r="C100" s="473">
        <f>IF(D93="","-",+C99+1)</f>
        <v>2009</v>
      </c>
      <c r="D100" s="474">
        <v>1501377</v>
      </c>
      <c r="E100" s="481">
        <v>27152</v>
      </c>
      <c r="F100" s="480">
        <v>1474225</v>
      </c>
      <c r="G100" s="480">
        <v>1487801</v>
      </c>
      <c r="H100" s="481">
        <v>244680.82784018715</v>
      </c>
      <c r="I100" s="482">
        <v>244680.82784018715</v>
      </c>
      <c r="J100" s="479">
        <f t="shared" si="22"/>
        <v>0</v>
      </c>
      <c r="K100" s="479"/>
      <c r="L100" s="541">
        <f t="shared" ref="L100:L105" si="26">H100</f>
        <v>244680.82784018715</v>
      </c>
      <c r="M100" s="542">
        <f t="shared" si="23"/>
        <v>0</v>
      </c>
      <c r="N100" s="541">
        <f t="shared" ref="N100:N105" si="27">I100</f>
        <v>244680.82784018715</v>
      </c>
      <c r="O100" s="479">
        <f t="shared" si="24"/>
        <v>0</v>
      </c>
      <c r="P100" s="479">
        <f t="shared" si="25"/>
        <v>0</v>
      </c>
    </row>
    <row r="101" spans="1:16" ht="12.5">
      <c r="B101" s="160" t="str">
        <f t="shared" ref="B101:B154" si="28">IF(D101=F100,"","IU")</f>
        <v/>
      </c>
      <c r="C101" s="473">
        <f>IF(D93="","-",+C100+1)</f>
        <v>2010</v>
      </c>
      <c r="D101" s="474">
        <v>1474225</v>
      </c>
      <c r="E101" s="481">
        <v>29814</v>
      </c>
      <c r="F101" s="480">
        <v>1444411</v>
      </c>
      <c r="G101" s="480">
        <v>1459318</v>
      </c>
      <c r="H101" s="481">
        <v>264494.5477733505</v>
      </c>
      <c r="I101" s="482">
        <v>264494.5477733505</v>
      </c>
      <c r="J101" s="479">
        <f t="shared" si="22"/>
        <v>0</v>
      </c>
      <c r="K101" s="479"/>
      <c r="L101" s="541">
        <f t="shared" si="26"/>
        <v>264494.5477733505</v>
      </c>
      <c r="M101" s="542">
        <f t="shared" si="23"/>
        <v>0</v>
      </c>
      <c r="N101" s="541">
        <f t="shared" si="27"/>
        <v>264494.5477733505</v>
      </c>
      <c r="O101" s="479">
        <f t="shared" si="24"/>
        <v>0</v>
      </c>
      <c r="P101" s="479">
        <f t="shared" si="25"/>
        <v>0</v>
      </c>
    </row>
    <row r="102" spans="1:16" ht="12.5">
      <c r="B102" s="160" t="str">
        <f t="shared" si="28"/>
        <v/>
      </c>
      <c r="C102" s="473">
        <f>IF(D93="","-",+C101+1)</f>
        <v>2011</v>
      </c>
      <c r="D102" s="474">
        <v>1444411</v>
      </c>
      <c r="E102" s="481">
        <v>29240</v>
      </c>
      <c r="F102" s="480">
        <v>1415171</v>
      </c>
      <c r="G102" s="480">
        <v>1429791</v>
      </c>
      <c r="H102" s="481">
        <v>229143.9952359481</v>
      </c>
      <c r="I102" s="482">
        <v>229143.9952359481</v>
      </c>
      <c r="J102" s="479">
        <f t="shared" si="22"/>
        <v>0</v>
      </c>
      <c r="K102" s="479"/>
      <c r="L102" s="541">
        <f t="shared" si="26"/>
        <v>229143.9952359481</v>
      </c>
      <c r="M102" s="542">
        <f t="shared" si="23"/>
        <v>0</v>
      </c>
      <c r="N102" s="541">
        <f t="shared" si="27"/>
        <v>229143.9952359481</v>
      </c>
      <c r="O102" s="479">
        <f t="shared" si="24"/>
        <v>0</v>
      </c>
      <c r="P102" s="479">
        <f t="shared" si="25"/>
        <v>0</v>
      </c>
    </row>
    <row r="103" spans="1:16" ht="12.5">
      <c r="B103" s="160" t="str">
        <f t="shared" si="28"/>
        <v/>
      </c>
      <c r="C103" s="473">
        <f>IF(D93="","-",+C102+1)</f>
        <v>2012</v>
      </c>
      <c r="D103" s="474">
        <v>1415171</v>
      </c>
      <c r="E103" s="481">
        <v>29240</v>
      </c>
      <c r="F103" s="480">
        <v>1385931</v>
      </c>
      <c r="G103" s="480">
        <v>1400551</v>
      </c>
      <c r="H103" s="481">
        <v>230716.93888695308</v>
      </c>
      <c r="I103" s="482">
        <v>230716.93888695308</v>
      </c>
      <c r="J103" s="479">
        <v>0</v>
      </c>
      <c r="K103" s="479"/>
      <c r="L103" s="541">
        <f t="shared" si="26"/>
        <v>230716.93888695308</v>
      </c>
      <c r="M103" s="542">
        <f t="shared" ref="M103:M108" si="29">IF(L103&lt;&gt;0,+H103-L103,0)</f>
        <v>0</v>
      </c>
      <c r="N103" s="541">
        <f t="shared" si="27"/>
        <v>230716.93888695308</v>
      </c>
      <c r="O103" s="479">
        <f t="shared" ref="O103:O108" si="30">IF(N103&lt;&gt;0,+I103-N103,0)</f>
        <v>0</v>
      </c>
      <c r="P103" s="479">
        <f t="shared" ref="P103:P108" si="31">+O103-M103</f>
        <v>0</v>
      </c>
    </row>
    <row r="104" spans="1:16" ht="12.5">
      <c r="B104" s="160" t="str">
        <f t="shared" si="28"/>
        <v/>
      </c>
      <c r="C104" s="473">
        <f>IF(D93="","-",+C103+1)</f>
        <v>2013</v>
      </c>
      <c r="D104" s="474">
        <v>1385931</v>
      </c>
      <c r="E104" s="481">
        <v>29240</v>
      </c>
      <c r="F104" s="480">
        <v>1356691</v>
      </c>
      <c r="G104" s="480">
        <v>1371311</v>
      </c>
      <c r="H104" s="481">
        <v>226625.94850487544</v>
      </c>
      <c r="I104" s="482">
        <v>226625.94850487544</v>
      </c>
      <c r="J104" s="479">
        <v>0</v>
      </c>
      <c r="K104" s="479"/>
      <c r="L104" s="541">
        <f t="shared" si="26"/>
        <v>226625.94850487544</v>
      </c>
      <c r="M104" s="542">
        <f t="shared" si="29"/>
        <v>0</v>
      </c>
      <c r="N104" s="541">
        <f t="shared" si="27"/>
        <v>226625.94850487544</v>
      </c>
      <c r="O104" s="479">
        <f t="shared" si="30"/>
        <v>0</v>
      </c>
      <c r="P104" s="479">
        <f t="shared" si="31"/>
        <v>0</v>
      </c>
    </row>
    <row r="105" spans="1:16" ht="12.5">
      <c r="B105" s="160" t="str">
        <f t="shared" si="28"/>
        <v/>
      </c>
      <c r="C105" s="473">
        <f>IF(D93="","-",+C104+1)</f>
        <v>2014</v>
      </c>
      <c r="D105" s="474">
        <v>1356691</v>
      </c>
      <c r="E105" s="481">
        <v>29240</v>
      </c>
      <c r="F105" s="480">
        <v>1327451</v>
      </c>
      <c r="G105" s="480">
        <v>1342071</v>
      </c>
      <c r="H105" s="481">
        <v>217929.69653942893</v>
      </c>
      <c r="I105" s="482">
        <v>217929.69653942893</v>
      </c>
      <c r="J105" s="479">
        <v>0</v>
      </c>
      <c r="K105" s="479"/>
      <c r="L105" s="541">
        <f t="shared" si="26"/>
        <v>217929.69653942893</v>
      </c>
      <c r="M105" s="542">
        <f t="shared" si="29"/>
        <v>0</v>
      </c>
      <c r="N105" s="541">
        <f t="shared" si="27"/>
        <v>217929.69653942893</v>
      </c>
      <c r="O105" s="479">
        <f t="shared" si="30"/>
        <v>0</v>
      </c>
      <c r="P105" s="479">
        <f t="shared" si="31"/>
        <v>0</v>
      </c>
    </row>
    <row r="106" spans="1:16" ht="12.5">
      <c r="B106" s="160" t="str">
        <f t="shared" si="28"/>
        <v/>
      </c>
      <c r="C106" s="473">
        <f>IF(D93="","-",+C105+1)</f>
        <v>2015</v>
      </c>
      <c r="D106" s="474">
        <v>1327451</v>
      </c>
      <c r="E106" s="481">
        <v>29240</v>
      </c>
      <c r="F106" s="480">
        <v>1298211</v>
      </c>
      <c r="G106" s="480">
        <v>1312831</v>
      </c>
      <c r="H106" s="481">
        <v>208365.23426858318</v>
      </c>
      <c r="I106" s="482">
        <v>208365.23426858318</v>
      </c>
      <c r="J106" s="479">
        <f t="shared" si="22"/>
        <v>0</v>
      </c>
      <c r="K106" s="479"/>
      <c r="L106" s="541">
        <f>H106</f>
        <v>208365.23426858318</v>
      </c>
      <c r="M106" s="542">
        <f t="shared" si="29"/>
        <v>0</v>
      </c>
      <c r="N106" s="541">
        <f>I106</f>
        <v>208365.23426858318</v>
      </c>
      <c r="O106" s="479">
        <f t="shared" si="30"/>
        <v>0</v>
      </c>
      <c r="P106" s="479">
        <f t="shared" si="31"/>
        <v>0</v>
      </c>
    </row>
    <row r="107" spans="1:16" ht="12.5">
      <c r="B107" s="160" t="str">
        <f t="shared" si="28"/>
        <v/>
      </c>
      <c r="C107" s="473">
        <f>IF(D93="","-",+C106+1)</f>
        <v>2016</v>
      </c>
      <c r="D107" s="474">
        <v>1298211</v>
      </c>
      <c r="E107" s="481">
        <v>33054</v>
      </c>
      <c r="F107" s="480">
        <v>1265157</v>
      </c>
      <c r="G107" s="480">
        <v>1281684</v>
      </c>
      <c r="H107" s="481">
        <v>198283.25268027262</v>
      </c>
      <c r="I107" s="482">
        <v>198283.25268027262</v>
      </c>
      <c r="J107" s="479">
        <f t="shared" si="22"/>
        <v>0</v>
      </c>
      <c r="K107" s="479"/>
      <c r="L107" s="541">
        <f>H107</f>
        <v>198283.25268027262</v>
      </c>
      <c r="M107" s="542">
        <f t="shared" si="29"/>
        <v>0</v>
      </c>
      <c r="N107" s="541">
        <f>I107</f>
        <v>198283.25268027262</v>
      </c>
      <c r="O107" s="479">
        <f t="shared" si="30"/>
        <v>0</v>
      </c>
      <c r="P107" s="479">
        <f t="shared" si="31"/>
        <v>0</v>
      </c>
    </row>
    <row r="108" spans="1:16" ht="12.5">
      <c r="B108" s="160" t="str">
        <f t="shared" si="28"/>
        <v/>
      </c>
      <c r="C108" s="473">
        <f>IF(D93="","-",+C107+1)</f>
        <v>2017</v>
      </c>
      <c r="D108" s="474">
        <v>1265157</v>
      </c>
      <c r="E108" s="481">
        <v>33054</v>
      </c>
      <c r="F108" s="480">
        <v>1232103</v>
      </c>
      <c r="G108" s="480">
        <v>1248630</v>
      </c>
      <c r="H108" s="481">
        <v>191445.86392166355</v>
      </c>
      <c r="I108" s="482">
        <v>191445.86392166355</v>
      </c>
      <c r="J108" s="479">
        <f t="shared" si="22"/>
        <v>0</v>
      </c>
      <c r="K108" s="479"/>
      <c r="L108" s="541">
        <f>H108</f>
        <v>191445.86392166355</v>
      </c>
      <c r="M108" s="542">
        <f t="shared" si="29"/>
        <v>0</v>
      </c>
      <c r="N108" s="541">
        <f>I108</f>
        <v>191445.86392166355</v>
      </c>
      <c r="O108" s="479">
        <f t="shared" si="30"/>
        <v>0</v>
      </c>
      <c r="P108" s="479">
        <f t="shared" si="31"/>
        <v>0</v>
      </c>
    </row>
    <row r="109" spans="1:16" ht="12.5">
      <c r="B109" s="160" t="str">
        <f t="shared" si="28"/>
        <v/>
      </c>
      <c r="C109" s="473">
        <f>IF(D93="","-",+C108+1)</f>
        <v>2018</v>
      </c>
      <c r="D109" s="474">
        <v>1232103</v>
      </c>
      <c r="E109" s="481">
        <v>35361</v>
      </c>
      <c r="F109" s="480">
        <v>1196742</v>
      </c>
      <c r="G109" s="480">
        <v>1214422.5</v>
      </c>
      <c r="H109" s="481">
        <v>160125.3839048628</v>
      </c>
      <c r="I109" s="482">
        <v>160125.3839048628</v>
      </c>
      <c r="J109" s="479">
        <f t="shared" si="22"/>
        <v>0</v>
      </c>
      <c r="K109" s="479"/>
      <c r="L109" s="541">
        <f>H109</f>
        <v>160125.3839048628</v>
      </c>
      <c r="M109" s="542">
        <f t="shared" ref="M109" si="32">IF(L109&lt;&gt;0,+H109-L109,0)</f>
        <v>0</v>
      </c>
      <c r="N109" s="541">
        <f>I109</f>
        <v>160125.3839048628</v>
      </c>
      <c r="O109" s="479">
        <f t="shared" ref="O109" si="33">IF(N109&lt;&gt;0,+I109-N109,0)</f>
        <v>0</v>
      </c>
      <c r="P109" s="479">
        <f t="shared" ref="P109" si="34">+O109-M109</f>
        <v>0</v>
      </c>
    </row>
    <row r="110" spans="1:16" ht="12.5">
      <c r="B110" s="160" t="str">
        <f t="shared" si="28"/>
        <v/>
      </c>
      <c r="C110" s="473">
        <f>IF(D93="","-",+C109+1)</f>
        <v>2019</v>
      </c>
      <c r="D110" s="474">
        <v>1196742</v>
      </c>
      <c r="E110" s="481">
        <v>37085</v>
      </c>
      <c r="F110" s="480">
        <v>1159657</v>
      </c>
      <c r="G110" s="480">
        <v>1178199.5</v>
      </c>
      <c r="H110" s="481">
        <v>158573.89397118561</v>
      </c>
      <c r="I110" s="482">
        <v>158573.89397118561</v>
      </c>
      <c r="J110" s="479">
        <f t="shared" si="22"/>
        <v>0</v>
      </c>
      <c r="K110" s="479"/>
      <c r="L110" s="541">
        <f>H110</f>
        <v>158573.89397118561</v>
      </c>
      <c r="M110" s="542">
        <f t="shared" ref="M110" si="35">IF(L110&lt;&gt;0,+H110-L110,0)</f>
        <v>0</v>
      </c>
      <c r="N110" s="541">
        <f>I110</f>
        <v>158573.89397118561</v>
      </c>
      <c r="O110" s="479">
        <f t="shared" si="24"/>
        <v>0</v>
      </c>
      <c r="P110" s="479">
        <f t="shared" si="25"/>
        <v>0</v>
      </c>
    </row>
    <row r="111" spans="1:16" ht="12.5">
      <c r="B111" s="160" t="str">
        <f t="shared" si="28"/>
        <v/>
      </c>
      <c r="C111" s="473">
        <f>IF(D93="","-",+C110+1)</f>
        <v>2020</v>
      </c>
      <c r="D111" s="347">
        <f>IF(F110+SUM(E$99:E110)=D$92,F110,D$92-SUM(E$99:E110))</f>
        <v>1159657</v>
      </c>
      <c r="E111" s="487">
        <f>IF(+J96&lt;F110,J96,D111)</f>
        <v>35361</v>
      </c>
      <c r="F111" s="486">
        <f t="shared" ref="F111:F130" si="36">+D111-E111</f>
        <v>1124296</v>
      </c>
      <c r="G111" s="486">
        <f t="shared" ref="G111:G130" si="37">+(F111+D111)/2</f>
        <v>1141976.5</v>
      </c>
      <c r="H111" s="487">
        <f>(D111+F111)/2*J$94+E111</f>
        <v>167027.75084448946</v>
      </c>
      <c r="I111" s="543">
        <f t="shared" ref="I111" si="38">+J$95*G111+E111</f>
        <v>167027.75084448946</v>
      </c>
      <c r="J111" s="479">
        <f t="shared" si="22"/>
        <v>0</v>
      </c>
      <c r="K111" s="479"/>
      <c r="L111" s="488"/>
      <c r="M111" s="479">
        <f t="shared" si="23"/>
        <v>0</v>
      </c>
      <c r="N111" s="488"/>
      <c r="O111" s="479">
        <f t="shared" si="24"/>
        <v>0</v>
      </c>
      <c r="P111" s="479">
        <f t="shared" si="25"/>
        <v>0</v>
      </c>
    </row>
    <row r="112" spans="1:16" ht="12.5">
      <c r="B112" s="160" t="str">
        <f t="shared" si="28"/>
        <v/>
      </c>
      <c r="C112" s="473">
        <f>IF(D93="","-",+C111+1)</f>
        <v>2021</v>
      </c>
      <c r="D112" s="347">
        <f>IF(F111+SUM(E$99:E111)=D$92,F111,D$92-SUM(E$99:E111))</f>
        <v>1124296</v>
      </c>
      <c r="E112" s="487">
        <f>IF(+J96&lt;F111,J96,D112)</f>
        <v>35361</v>
      </c>
      <c r="F112" s="486">
        <f t="shared" si="36"/>
        <v>1088935</v>
      </c>
      <c r="G112" s="486">
        <f t="shared" si="37"/>
        <v>1106615.5</v>
      </c>
      <c r="H112" s="487">
        <f t="shared" ref="H112:H153" si="39">(D112+F112)/2*J$94+E112</f>
        <v>162950.72476154292</v>
      </c>
      <c r="I112" s="543">
        <f t="shared" ref="I112:I153" si="40">+J$95*G112+E112</f>
        <v>162950.72476154292</v>
      </c>
      <c r="J112" s="479">
        <f t="shared" si="22"/>
        <v>0</v>
      </c>
      <c r="K112" s="479"/>
      <c r="L112" s="488"/>
      <c r="M112" s="479">
        <f t="shared" si="23"/>
        <v>0</v>
      </c>
      <c r="N112" s="488"/>
      <c r="O112" s="479">
        <f t="shared" si="24"/>
        <v>0</v>
      </c>
      <c r="P112" s="479">
        <f t="shared" si="25"/>
        <v>0</v>
      </c>
    </row>
    <row r="113" spans="2:16" ht="12.5">
      <c r="B113" s="160" t="str">
        <f t="shared" si="28"/>
        <v/>
      </c>
      <c r="C113" s="473">
        <f>IF(D93="","-",+C112+1)</f>
        <v>2022</v>
      </c>
      <c r="D113" s="347">
        <f>IF(F112+SUM(E$99:E112)=D$92,F112,D$92-SUM(E$99:E112))</f>
        <v>1088935</v>
      </c>
      <c r="E113" s="487">
        <f>IF(+J96&lt;F112,J96,D113)</f>
        <v>35361</v>
      </c>
      <c r="F113" s="486">
        <f t="shared" si="36"/>
        <v>1053574</v>
      </c>
      <c r="G113" s="486">
        <f t="shared" si="37"/>
        <v>1071254.5</v>
      </c>
      <c r="H113" s="487">
        <f t="shared" si="39"/>
        <v>158873.69867859641</v>
      </c>
      <c r="I113" s="543">
        <f t="shared" si="40"/>
        <v>158873.69867859641</v>
      </c>
      <c r="J113" s="479">
        <f t="shared" si="22"/>
        <v>0</v>
      </c>
      <c r="K113" s="479"/>
      <c r="L113" s="488"/>
      <c r="M113" s="479">
        <f t="shared" si="23"/>
        <v>0</v>
      </c>
      <c r="N113" s="488"/>
      <c r="O113" s="479">
        <f t="shared" si="24"/>
        <v>0</v>
      </c>
      <c r="P113" s="479">
        <f t="shared" si="25"/>
        <v>0</v>
      </c>
    </row>
    <row r="114" spans="2:16" ht="12.5">
      <c r="B114" s="160" t="str">
        <f t="shared" si="28"/>
        <v/>
      </c>
      <c r="C114" s="473">
        <f>IF(D93="","-",+C113+1)</f>
        <v>2023</v>
      </c>
      <c r="D114" s="347">
        <f>IF(F113+SUM(E$99:E113)=D$92,F113,D$92-SUM(E$99:E113))</f>
        <v>1053574</v>
      </c>
      <c r="E114" s="487">
        <f>IF(+J96&lt;F113,J96,D114)</f>
        <v>35361</v>
      </c>
      <c r="F114" s="486">
        <f t="shared" si="36"/>
        <v>1018213</v>
      </c>
      <c r="G114" s="486">
        <f t="shared" si="37"/>
        <v>1035893.5</v>
      </c>
      <c r="H114" s="487">
        <f t="shared" si="39"/>
        <v>154796.67259564984</v>
      </c>
      <c r="I114" s="543">
        <f t="shared" si="40"/>
        <v>154796.67259564984</v>
      </c>
      <c r="J114" s="479">
        <f t="shared" si="22"/>
        <v>0</v>
      </c>
      <c r="K114" s="479"/>
      <c r="L114" s="488"/>
      <c r="M114" s="479">
        <f t="shared" si="23"/>
        <v>0</v>
      </c>
      <c r="N114" s="488"/>
      <c r="O114" s="479">
        <f t="shared" si="24"/>
        <v>0</v>
      </c>
      <c r="P114" s="479">
        <f t="shared" si="25"/>
        <v>0</v>
      </c>
    </row>
    <row r="115" spans="2:16" ht="12.5">
      <c r="B115" s="160" t="str">
        <f t="shared" si="28"/>
        <v/>
      </c>
      <c r="C115" s="473">
        <f>IF(D93="","-",+C114+1)</f>
        <v>2024</v>
      </c>
      <c r="D115" s="347">
        <f>IF(F114+SUM(E$99:E114)=D$92,F114,D$92-SUM(E$99:E114))</f>
        <v>1018213</v>
      </c>
      <c r="E115" s="487">
        <f>IF(+J96&lt;F114,J96,D115)</f>
        <v>35361</v>
      </c>
      <c r="F115" s="486">
        <f t="shared" si="36"/>
        <v>982852</v>
      </c>
      <c r="G115" s="486">
        <f t="shared" si="37"/>
        <v>1000532.5</v>
      </c>
      <c r="H115" s="487">
        <f t="shared" si="39"/>
        <v>150719.64651270333</v>
      </c>
      <c r="I115" s="543">
        <f t="shared" si="40"/>
        <v>150719.64651270333</v>
      </c>
      <c r="J115" s="479">
        <f t="shared" si="22"/>
        <v>0</v>
      </c>
      <c r="K115" s="479"/>
      <c r="L115" s="488"/>
      <c r="M115" s="479">
        <f t="shared" si="23"/>
        <v>0</v>
      </c>
      <c r="N115" s="488"/>
      <c r="O115" s="479">
        <f t="shared" si="24"/>
        <v>0</v>
      </c>
      <c r="P115" s="479">
        <f t="shared" si="25"/>
        <v>0</v>
      </c>
    </row>
    <row r="116" spans="2:16" ht="12.5">
      <c r="B116" s="160" t="str">
        <f t="shared" si="28"/>
        <v/>
      </c>
      <c r="C116" s="473">
        <f>IF(D93="","-",+C115+1)</f>
        <v>2025</v>
      </c>
      <c r="D116" s="347">
        <f>IF(F115+SUM(E$99:E115)=D$92,F115,D$92-SUM(E$99:E115))</f>
        <v>982852</v>
      </c>
      <c r="E116" s="487">
        <f>IF(+J96&lt;F115,J96,D116)</f>
        <v>35361</v>
      </c>
      <c r="F116" s="486">
        <f t="shared" si="36"/>
        <v>947491</v>
      </c>
      <c r="G116" s="486">
        <f t="shared" si="37"/>
        <v>965171.5</v>
      </c>
      <c r="H116" s="487">
        <f t="shared" si="39"/>
        <v>146642.62042975679</v>
      </c>
      <c r="I116" s="543">
        <f t="shared" si="40"/>
        <v>146642.62042975679</v>
      </c>
      <c r="J116" s="479">
        <f t="shared" si="22"/>
        <v>0</v>
      </c>
      <c r="K116" s="479"/>
      <c r="L116" s="488"/>
      <c r="M116" s="479">
        <f t="shared" si="23"/>
        <v>0</v>
      </c>
      <c r="N116" s="488"/>
      <c r="O116" s="479">
        <f t="shared" si="24"/>
        <v>0</v>
      </c>
      <c r="P116" s="479">
        <f t="shared" si="25"/>
        <v>0</v>
      </c>
    </row>
    <row r="117" spans="2:16" ht="12.5">
      <c r="B117" s="160" t="str">
        <f t="shared" si="28"/>
        <v/>
      </c>
      <c r="C117" s="473">
        <f>IF(D93="","-",+C116+1)</f>
        <v>2026</v>
      </c>
      <c r="D117" s="347">
        <f>IF(F116+SUM(E$99:E116)=D$92,F116,D$92-SUM(E$99:E116))</f>
        <v>947491</v>
      </c>
      <c r="E117" s="487">
        <f>IF(+J96&lt;F116,J96,D117)</f>
        <v>35361</v>
      </c>
      <c r="F117" s="486">
        <f t="shared" si="36"/>
        <v>912130</v>
      </c>
      <c r="G117" s="486">
        <f t="shared" si="37"/>
        <v>929810.5</v>
      </c>
      <c r="H117" s="487">
        <f t="shared" si="39"/>
        <v>142565.59434681025</v>
      </c>
      <c r="I117" s="543">
        <f t="shared" si="40"/>
        <v>142565.59434681025</v>
      </c>
      <c r="J117" s="479">
        <f t="shared" si="22"/>
        <v>0</v>
      </c>
      <c r="K117" s="479"/>
      <c r="L117" s="488"/>
      <c r="M117" s="479">
        <f t="shared" si="23"/>
        <v>0</v>
      </c>
      <c r="N117" s="488"/>
      <c r="O117" s="479">
        <f t="shared" si="24"/>
        <v>0</v>
      </c>
      <c r="P117" s="479">
        <f t="shared" si="25"/>
        <v>0</v>
      </c>
    </row>
    <row r="118" spans="2:16" ht="12.5">
      <c r="B118" s="160" t="str">
        <f t="shared" si="28"/>
        <v/>
      </c>
      <c r="C118" s="473">
        <f>IF(D93="","-",+C117+1)</f>
        <v>2027</v>
      </c>
      <c r="D118" s="347">
        <f>IF(F117+SUM(E$99:E117)=D$92,F117,D$92-SUM(E$99:E117))</f>
        <v>912130</v>
      </c>
      <c r="E118" s="487">
        <f>IF(+J96&lt;F117,J96,D118)</f>
        <v>35361</v>
      </c>
      <c r="F118" s="486">
        <f t="shared" si="36"/>
        <v>876769</v>
      </c>
      <c r="G118" s="486">
        <f t="shared" si="37"/>
        <v>894449.5</v>
      </c>
      <c r="H118" s="487">
        <f t="shared" si="39"/>
        <v>138488.56826386374</v>
      </c>
      <c r="I118" s="543">
        <f t="shared" si="40"/>
        <v>138488.56826386374</v>
      </c>
      <c r="J118" s="479">
        <f t="shared" si="22"/>
        <v>0</v>
      </c>
      <c r="K118" s="479"/>
      <c r="L118" s="488"/>
      <c r="M118" s="479">
        <f t="shared" si="23"/>
        <v>0</v>
      </c>
      <c r="N118" s="488"/>
      <c r="O118" s="479">
        <f t="shared" si="24"/>
        <v>0</v>
      </c>
      <c r="P118" s="479">
        <f t="shared" si="25"/>
        <v>0</v>
      </c>
    </row>
    <row r="119" spans="2:16" ht="12.5">
      <c r="B119" s="160" t="str">
        <f t="shared" si="28"/>
        <v/>
      </c>
      <c r="C119" s="473">
        <f>IF(D93="","-",+C118+1)</f>
        <v>2028</v>
      </c>
      <c r="D119" s="347">
        <f>IF(F118+SUM(E$99:E118)=D$92,F118,D$92-SUM(E$99:E118))</f>
        <v>876769</v>
      </c>
      <c r="E119" s="487">
        <f>IF(+J96&lt;F118,J96,D119)</f>
        <v>35361</v>
      </c>
      <c r="F119" s="486">
        <f t="shared" si="36"/>
        <v>841408</v>
      </c>
      <c r="G119" s="486">
        <f t="shared" si="37"/>
        <v>859088.5</v>
      </c>
      <c r="H119" s="487">
        <f t="shared" si="39"/>
        <v>134411.5421809172</v>
      </c>
      <c r="I119" s="543">
        <f t="shared" si="40"/>
        <v>134411.5421809172</v>
      </c>
      <c r="J119" s="479">
        <f t="shared" si="22"/>
        <v>0</v>
      </c>
      <c r="K119" s="479"/>
      <c r="L119" s="488"/>
      <c r="M119" s="479">
        <f t="shared" si="23"/>
        <v>0</v>
      </c>
      <c r="N119" s="488"/>
      <c r="O119" s="479">
        <f t="shared" si="24"/>
        <v>0</v>
      </c>
      <c r="P119" s="479">
        <f t="shared" si="25"/>
        <v>0</v>
      </c>
    </row>
    <row r="120" spans="2:16" ht="12.5">
      <c r="B120" s="160" t="str">
        <f t="shared" si="28"/>
        <v/>
      </c>
      <c r="C120" s="473">
        <f>IF(D93="","-",+C119+1)</f>
        <v>2029</v>
      </c>
      <c r="D120" s="347">
        <f>IF(F119+SUM(E$99:E119)=D$92,F119,D$92-SUM(E$99:E119))</f>
        <v>841408</v>
      </c>
      <c r="E120" s="487">
        <f>IF(+J96&lt;F119,J96,D120)</f>
        <v>35361</v>
      </c>
      <c r="F120" s="486">
        <f t="shared" si="36"/>
        <v>806047</v>
      </c>
      <c r="G120" s="486">
        <f t="shared" si="37"/>
        <v>823727.5</v>
      </c>
      <c r="H120" s="487">
        <f t="shared" si="39"/>
        <v>130334.51609797066</v>
      </c>
      <c r="I120" s="543">
        <f t="shared" si="40"/>
        <v>130334.51609797066</v>
      </c>
      <c r="J120" s="479">
        <f t="shared" si="22"/>
        <v>0</v>
      </c>
      <c r="K120" s="479"/>
      <c r="L120" s="488"/>
      <c r="M120" s="479">
        <f t="shared" si="23"/>
        <v>0</v>
      </c>
      <c r="N120" s="488"/>
      <c r="O120" s="479">
        <f t="shared" si="24"/>
        <v>0</v>
      </c>
      <c r="P120" s="479">
        <f t="shared" si="25"/>
        <v>0</v>
      </c>
    </row>
    <row r="121" spans="2:16" ht="12.5">
      <c r="B121" s="160" t="str">
        <f t="shared" si="28"/>
        <v/>
      </c>
      <c r="C121" s="473">
        <f>IF(D93="","-",+C120+1)</f>
        <v>2030</v>
      </c>
      <c r="D121" s="347">
        <f>IF(F120+SUM(E$99:E120)=D$92,F120,D$92-SUM(E$99:E120))</f>
        <v>806047</v>
      </c>
      <c r="E121" s="487">
        <f>IF(+J96&lt;F120,J96,D121)</f>
        <v>35361</v>
      </c>
      <c r="F121" s="486">
        <f t="shared" si="36"/>
        <v>770686</v>
      </c>
      <c r="G121" s="486">
        <f t="shared" si="37"/>
        <v>788366.5</v>
      </c>
      <c r="H121" s="487">
        <f t="shared" si="39"/>
        <v>126257.49001502413</v>
      </c>
      <c r="I121" s="543">
        <f t="shared" si="40"/>
        <v>126257.49001502413</v>
      </c>
      <c r="J121" s="479">
        <f t="shared" si="22"/>
        <v>0</v>
      </c>
      <c r="K121" s="479"/>
      <c r="L121" s="488"/>
      <c r="M121" s="479">
        <f t="shared" si="23"/>
        <v>0</v>
      </c>
      <c r="N121" s="488"/>
      <c r="O121" s="479">
        <f t="shared" si="24"/>
        <v>0</v>
      </c>
      <c r="P121" s="479">
        <f t="shared" si="25"/>
        <v>0</v>
      </c>
    </row>
    <row r="122" spans="2:16" ht="12.5">
      <c r="B122" s="160" t="str">
        <f t="shared" si="28"/>
        <v/>
      </c>
      <c r="C122" s="473">
        <f>IF(D93="","-",+C121+1)</f>
        <v>2031</v>
      </c>
      <c r="D122" s="347">
        <f>IF(F121+SUM(E$99:E121)=D$92,F121,D$92-SUM(E$99:E121))</f>
        <v>770686</v>
      </c>
      <c r="E122" s="487">
        <f>IF(+J96&lt;F121,J96,D122)</f>
        <v>35361</v>
      </c>
      <c r="F122" s="486">
        <f t="shared" si="36"/>
        <v>735325</v>
      </c>
      <c r="G122" s="486">
        <f t="shared" si="37"/>
        <v>753005.5</v>
      </c>
      <c r="H122" s="487">
        <f t="shared" si="39"/>
        <v>122180.46393207759</v>
      </c>
      <c r="I122" s="543">
        <f t="shared" si="40"/>
        <v>122180.46393207759</v>
      </c>
      <c r="J122" s="479">
        <f t="shared" si="22"/>
        <v>0</v>
      </c>
      <c r="K122" s="479"/>
      <c r="L122" s="488"/>
      <c r="M122" s="479">
        <f t="shared" si="23"/>
        <v>0</v>
      </c>
      <c r="N122" s="488"/>
      <c r="O122" s="479">
        <f t="shared" si="24"/>
        <v>0</v>
      </c>
      <c r="P122" s="479">
        <f t="shared" si="25"/>
        <v>0</v>
      </c>
    </row>
    <row r="123" spans="2:16" ht="12.5">
      <c r="B123" s="160" t="str">
        <f t="shared" si="28"/>
        <v/>
      </c>
      <c r="C123" s="473">
        <f>IF(D93="","-",+C122+1)</f>
        <v>2032</v>
      </c>
      <c r="D123" s="347">
        <f>IF(F122+SUM(E$99:E122)=D$92,F122,D$92-SUM(E$99:E122))</f>
        <v>735325</v>
      </c>
      <c r="E123" s="487">
        <f>IF(+J96&lt;F122,J96,D123)</f>
        <v>35361</v>
      </c>
      <c r="F123" s="486">
        <f t="shared" si="36"/>
        <v>699964</v>
      </c>
      <c r="G123" s="486">
        <f t="shared" si="37"/>
        <v>717644.5</v>
      </c>
      <c r="H123" s="487">
        <f t="shared" si="39"/>
        <v>118103.43784913106</v>
      </c>
      <c r="I123" s="543">
        <f t="shared" si="40"/>
        <v>118103.43784913106</v>
      </c>
      <c r="J123" s="479">
        <f t="shared" si="22"/>
        <v>0</v>
      </c>
      <c r="K123" s="479"/>
      <c r="L123" s="488"/>
      <c r="M123" s="479">
        <f t="shared" si="23"/>
        <v>0</v>
      </c>
      <c r="N123" s="488"/>
      <c r="O123" s="479">
        <f t="shared" si="24"/>
        <v>0</v>
      </c>
      <c r="P123" s="479">
        <f t="shared" si="25"/>
        <v>0</v>
      </c>
    </row>
    <row r="124" spans="2:16" ht="12.5">
      <c r="B124" s="160" t="str">
        <f t="shared" si="28"/>
        <v/>
      </c>
      <c r="C124" s="473">
        <f>IF(D93="","-",+C123+1)</f>
        <v>2033</v>
      </c>
      <c r="D124" s="347">
        <f>IF(F123+SUM(E$99:E123)=D$92,F123,D$92-SUM(E$99:E123))</f>
        <v>699964</v>
      </c>
      <c r="E124" s="487">
        <f>IF(+J96&lt;F123,J96,D124)</f>
        <v>35361</v>
      </c>
      <c r="F124" s="486">
        <f t="shared" si="36"/>
        <v>664603</v>
      </c>
      <c r="G124" s="486">
        <f t="shared" si="37"/>
        <v>682283.5</v>
      </c>
      <c r="H124" s="487">
        <f t="shared" si="39"/>
        <v>114026.41176618452</v>
      </c>
      <c r="I124" s="543">
        <f t="shared" si="40"/>
        <v>114026.41176618452</v>
      </c>
      <c r="J124" s="479">
        <f t="shared" si="22"/>
        <v>0</v>
      </c>
      <c r="K124" s="479"/>
      <c r="L124" s="488"/>
      <c r="M124" s="479">
        <f t="shared" si="23"/>
        <v>0</v>
      </c>
      <c r="N124" s="488"/>
      <c r="O124" s="479">
        <f t="shared" si="24"/>
        <v>0</v>
      </c>
      <c r="P124" s="479">
        <f t="shared" si="25"/>
        <v>0</v>
      </c>
    </row>
    <row r="125" spans="2:16" ht="12.5">
      <c r="B125" s="160" t="str">
        <f t="shared" si="28"/>
        <v/>
      </c>
      <c r="C125" s="473">
        <f>IF(D93="","-",+C124+1)</f>
        <v>2034</v>
      </c>
      <c r="D125" s="347">
        <f>IF(F124+SUM(E$99:E124)=D$92,F124,D$92-SUM(E$99:E124))</f>
        <v>664603</v>
      </c>
      <c r="E125" s="487">
        <f>IF(+J96&lt;F124,J96,D125)</f>
        <v>35361</v>
      </c>
      <c r="F125" s="486">
        <f t="shared" si="36"/>
        <v>629242</v>
      </c>
      <c r="G125" s="486">
        <f t="shared" si="37"/>
        <v>646922.5</v>
      </c>
      <c r="H125" s="487">
        <f t="shared" si="39"/>
        <v>109949.385683238</v>
      </c>
      <c r="I125" s="543">
        <f t="shared" si="40"/>
        <v>109949.385683238</v>
      </c>
      <c r="J125" s="479">
        <f t="shared" si="22"/>
        <v>0</v>
      </c>
      <c r="K125" s="479"/>
      <c r="L125" s="488"/>
      <c r="M125" s="479">
        <f t="shared" si="23"/>
        <v>0</v>
      </c>
      <c r="N125" s="488"/>
      <c r="O125" s="479">
        <f t="shared" si="24"/>
        <v>0</v>
      </c>
      <c r="P125" s="479">
        <f t="shared" si="25"/>
        <v>0</v>
      </c>
    </row>
    <row r="126" spans="2:16" ht="12.5">
      <c r="B126" s="160" t="str">
        <f t="shared" si="28"/>
        <v/>
      </c>
      <c r="C126" s="473">
        <f>IF(D93="","-",+C125+1)</f>
        <v>2035</v>
      </c>
      <c r="D126" s="347">
        <f>IF(F125+SUM(E$99:E125)=D$92,F125,D$92-SUM(E$99:E125))</f>
        <v>629242</v>
      </c>
      <c r="E126" s="487">
        <f>IF(+J96&lt;F125,J96,D126)</f>
        <v>35361</v>
      </c>
      <c r="F126" s="486">
        <f t="shared" si="36"/>
        <v>593881</v>
      </c>
      <c r="G126" s="486">
        <f t="shared" si="37"/>
        <v>611561.5</v>
      </c>
      <c r="H126" s="487">
        <f t="shared" si="39"/>
        <v>105872.35960029146</v>
      </c>
      <c r="I126" s="543">
        <f t="shared" si="40"/>
        <v>105872.35960029146</v>
      </c>
      <c r="J126" s="479">
        <f t="shared" si="22"/>
        <v>0</v>
      </c>
      <c r="K126" s="479"/>
      <c r="L126" s="488"/>
      <c r="M126" s="479">
        <f t="shared" si="23"/>
        <v>0</v>
      </c>
      <c r="N126" s="488"/>
      <c r="O126" s="479">
        <f t="shared" si="24"/>
        <v>0</v>
      </c>
      <c r="P126" s="479">
        <f t="shared" si="25"/>
        <v>0</v>
      </c>
    </row>
    <row r="127" spans="2:16" ht="12.5">
      <c r="B127" s="160" t="str">
        <f t="shared" si="28"/>
        <v/>
      </c>
      <c r="C127" s="473">
        <f>IF(D93="","-",+C126+1)</f>
        <v>2036</v>
      </c>
      <c r="D127" s="347">
        <f>IF(F126+SUM(E$99:E126)=D$92,F126,D$92-SUM(E$99:E126))</f>
        <v>593881</v>
      </c>
      <c r="E127" s="487">
        <f>IF(+J96&lt;F126,J96,D127)</f>
        <v>35361</v>
      </c>
      <c r="F127" s="486">
        <f t="shared" si="36"/>
        <v>558520</v>
      </c>
      <c r="G127" s="486">
        <f t="shared" si="37"/>
        <v>576200.5</v>
      </c>
      <c r="H127" s="487">
        <f t="shared" si="39"/>
        <v>101795.33351734493</v>
      </c>
      <c r="I127" s="543">
        <f t="shared" si="40"/>
        <v>101795.33351734493</v>
      </c>
      <c r="J127" s="479">
        <f t="shared" si="22"/>
        <v>0</v>
      </c>
      <c r="K127" s="479"/>
      <c r="L127" s="488"/>
      <c r="M127" s="479">
        <f t="shared" si="23"/>
        <v>0</v>
      </c>
      <c r="N127" s="488"/>
      <c r="O127" s="479">
        <f t="shared" si="24"/>
        <v>0</v>
      </c>
      <c r="P127" s="479">
        <f t="shared" si="25"/>
        <v>0</v>
      </c>
    </row>
    <row r="128" spans="2:16" ht="12.5">
      <c r="B128" s="160" t="str">
        <f t="shared" si="28"/>
        <v/>
      </c>
      <c r="C128" s="473">
        <f>IF(D93="","-",+C127+1)</f>
        <v>2037</v>
      </c>
      <c r="D128" s="347">
        <f>IF(F127+SUM(E$99:E127)=D$92,F127,D$92-SUM(E$99:E127))</f>
        <v>558520</v>
      </c>
      <c r="E128" s="487">
        <f>IF(+J96&lt;F127,J96,D128)</f>
        <v>35361</v>
      </c>
      <c r="F128" s="486">
        <f t="shared" si="36"/>
        <v>523159</v>
      </c>
      <c r="G128" s="486">
        <f t="shared" si="37"/>
        <v>540839.5</v>
      </c>
      <c r="H128" s="487">
        <f t="shared" si="39"/>
        <v>97718.30743439839</v>
      </c>
      <c r="I128" s="543">
        <f t="shared" si="40"/>
        <v>97718.30743439839</v>
      </c>
      <c r="J128" s="479">
        <f t="shared" si="22"/>
        <v>0</v>
      </c>
      <c r="K128" s="479"/>
      <c r="L128" s="488"/>
      <c r="M128" s="479">
        <f t="shared" si="23"/>
        <v>0</v>
      </c>
      <c r="N128" s="488"/>
      <c r="O128" s="479">
        <f t="shared" si="24"/>
        <v>0</v>
      </c>
      <c r="P128" s="479">
        <f t="shared" si="25"/>
        <v>0</v>
      </c>
    </row>
    <row r="129" spans="2:16" ht="12.5">
      <c r="B129" s="160" t="str">
        <f t="shared" si="28"/>
        <v/>
      </c>
      <c r="C129" s="473">
        <f>IF(D93="","-",+C128+1)</f>
        <v>2038</v>
      </c>
      <c r="D129" s="347">
        <f>IF(F128+SUM(E$99:E128)=D$92,F128,D$92-SUM(E$99:E128))</f>
        <v>523159</v>
      </c>
      <c r="E129" s="487">
        <f>IF(+J96&lt;F128,J96,D129)</f>
        <v>35361</v>
      </c>
      <c r="F129" s="486">
        <f t="shared" si="36"/>
        <v>487798</v>
      </c>
      <c r="G129" s="486">
        <f t="shared" si="37"/>
        <v>505478.5</v>
      </c>
      <c r="H129" s="487">
        <f t="shared" si="39"/>
        <v>93641.281351451864</v>
      </c>
      <c r="I129" s="543">
        <f t="shared" si="40"/>
        <v>93641.281351451864</v>
      </c>
      <c r="J129" s="479">
        <f t="shared" si="22"/>
        <v>0</v>
      </c>
      <c r="K129" s="479"/>
      <c r="L129" s="488"/>
      <c r="M129" s="479">
        <f t="shared" si="23"/>
        <v>0</v>
      </c>
      <c r="N129" s="488"/>
      <c r="O129" s="479">
        <f t="shared" si="24"/>
        <v>0</v>
      </c>
      <c r="P129" s="479">
        <f t="shared" si="25"/>
        <v>0</v>
      </c>
    </row>
    <row r="130" spans="2:16" ht="12.5">
      <c r="B130" s="160" t="str">
        <f t="shared" si="28"/>
        <v/>
      </c>
      <c r="C130" s="473">
        <f>IF(D93="","-",+C129+1)</f>
        <v>2039</v>
      </c>
      <c r="D130" s="347">
        <f>IF(F129+SUM(E$99:E129)=D$92,F129,D$92-SUM(E$99:E129))</f>
        <v>487798</v>
      </c>
      <c r="E130" s="487">
        <f>IF(+J96&lt;F129,J96,D130)</f>
        <v>35361</v>
      </c>
      <c r="F130" s="486">
        <f t="shared" si="36"/>
        <v>452437</v>
      </c>
      <c r="G130" s="486">
        <f t="shared" si="37"/>
        <v>470117.5</v>
      </c>
      <c r="H130" s="487">
        <f t="shared" si="39"/>
        <v>89564.255268505338</v>
      </c>
      <c r="I130" s="543">
        <f t="shared" si="40"/>
        <v>89564.255268505338</v>
      </c>
      <c r="J130" s="479">
        <f t="shared" si="22"/>
        <v>0</v>
      </c>
      <c r="K130" s="479"/>
      <c r="L130" s="488"/>
      <c r="M130" s="479">
        <f t="shared" si="23"/>
        <v>0</v>
      </c>
      <c r="N130" s="488"/>
      <c r="O130" s="479">
        <f t="shared" si="24"/>
        <v>0</v>
      </c>
      <c r="P130" s="479">
        <f t="shared" si="25"/>
        <v>0</v>
      </c>
    </row>
    <row r="131" spans="2:16" ht="12.5">
      <c r="B131" s="160" t="str">
        <f t="shared" si="28"/>
        <v/>
      </c>
      <c r="C131" s="473">
        <f>IF(D93="","-",+C130+1)</f>
        <v>2040</v>
      </c>
      <c r="D131" s="347">
        <f>IF(F130+SUM(E$99:E130)=D$92,F130,D$92-SUM(E$99:E130))</f>
        <v>452437</v>
      </c>
      <c r="E131" s="487">
        <f>IF(+J96&lt;F130,J96,D131)</f>
        <v>35361</v>
      </c>
      <c r="F131" s="486">
        <f t="shared" ref="F131:F154" si="41">+D131-E131</f>
        <v>417076</v>
      </c>
      <c r="G131" s="486">
        <f t="shared" ref="G131:G154" si="42">+(F131+D131)/2</f>
        <v>434756.5</v>
      </c>
      <c r="H131" s="487">
        <f t="shared" si="39"/>
        <v>85487.229185558797</v>
      </c>
      <c r="I131" s="543">
        <f t="shared" si="40"/>
        <v>85487.229185558797</v>
      </c>
      <c r="J131" s="479">
        <f t="shared" ref="J131:J154" si="43">+I131-H131</f>
        <v>0</v>
      </c>
      <c r="K131" s="479"/>
      <c r="L131" s="488"/>
      <c r="M131" s="479">
        <f t="shared" ref="M131:M154" si="44">IF(L131&lt;&gt;0,+H131-L131,0)</f>
        <v>0</v>
      </c>
      <c r="N131" s="488"/>
      <c r="O131" s="479">
        <f t="shared" ref="O131:O154" si="45">IF(N131&lt;&gt;0,+I131-N131,0)</f>
        <v>0</v>
      </c>
      <c r="P131" s="479">
        <f t="shared" ref="P131:P154" si="46">+O131-M131</f>
        <v>0</v>
      </c>
    </row>
    <row r="132" spans="2:16" ht="12.5">
      <c r="B132" s="160" t="str">
        <f t="shared" si="28"/>
        <v/>
      </c>
      <c r="C132" s="473">
        <f>IF(D93="","-",+C131+1)</f>
        <v>2041</v>
      </c>
      <c r="D132" s="347">
        <f>IF(F131+SUM(E$99:E131)=D$92,F131,D$92-SUM(E$99:E131))</f>
        <v>417076</v>
      </c>
      <c r="E132" s="487">
        <f>IF(+J96&lt;F131,J96,D132)</f>
        <v>35361</v>
      </c>
      <c r="F132" s="486">
        <f t="shared" si="41"/>
        <v>381715</v>
      </c>
      <c r="G132" s="486">
        <f t="shared" si="42"/>
        <v>399395.5</v>
      </c>
      <c r="H132" s="487">
        <f t="shared" si="39"/>
        <v>81410.203102612257</v>
      </c>
      <c r="I132" s="543">
        <f t="shared" si="40"/>
        <v>81410.203102612257</v>
      </c>
      <c r="J132" s="479">
        <f t="shared" si="43"/>
        <v>0</v>
      </c>
      <c r="K132" s="479"/>
      <c r="L132" s="488"/>
      <c r="M132" s="479">
        <f t="shared" si="44"/>
        <v>0</v>
      </c>
      <c r="N132" s="488"/>
      <c r="O132" s="479">
        <f t="shared" si="45"/>
        <v>0</v>
      </c>
      <c r="P132" s="479">
        <f t="shared" si="46"/>
        <v>0</v>
      </c>
    </row>
    <row r="133" spans="2:16" ht="12.5">
      <c r="B133" s="160" t="str">
        <f t="shared" si="28"/>
        <v/>
      </c>
      <c r="C133" s="473">
        <f>IF(D93="","-",+C132+1)</f>
        <v>2042</v>
      </c>
      <c r="D133" s="347">
        <f>IF(F132+SUM(E$99:E132)=D$92,F132,D$92-SUM(E$99:E132))</f>
        <v>381715</v>
      </c>
      <c r="E133" s="487">
        <f>IF(+J96&lt;F132,J96,D133)</f>
        <v>35361</v>
      </c>
      <c r="F133" s="486">
        <f t="shared" si="41"/>
        <v>346354</v>
      </c>
      <c r="G133" s="486">
        <f t="shared" si="42"/>
        <v>364034.5</v>
      </c>
      <c r="H133" s="487">
        <f t="shared" si="39"/>
        <v>77333.177019665731</v>
      </c>
      <c r="I133" s="543">
        <f t="shared" si="40"/>
        <v>77333.177019665731</v>
      </c>
      <c r="J133" s="479">
        <f t="shared" si="43"/>
        <v>0</v>
      </c>
      <c r="K133" s="479"/>
      <c r="L133" s="488"/>
      <c r="M133" s="479">
        <f t="shared" si="44"/>
        <v>0</v>
      </c>
      <c r="N133" s="488"/>
      <c r="O133" s="479">
        <f t="shared" si="45"/>
        <v>0</v>
      </c>
      <c r="P133" s="479">
        <f t="shared" si="46"/>
        <v>0</v>
      </c>
    </row>
    <row r="134" spans="2:16" ht="12.5">
      <c r="B134" s="160" t="str">
        <f t="shared" si="28"/>
        <v/>
      </c>
      <c r="C134" s="473">
        <f>IF(D93="","-",+C133+1)</f>
        <v>2043</v>
      </c>
      <c r="D134" s="347">
        <f>IF(F133+SUM(E$99:E133)=D$92,F133,D$92-SUM(E$99:E133))</f>
        <v>346354</v>
      </c>
      <c r="E134" s="487">
        <f>IF(+J96&lt;F133,J96,D134)</f>
        <v>35361</v>
      </c>
      <c r="F134" s="486">
        <f t="shared" si="41"/>
        <v>310993</v>
      </c>
      <c r="G134" s="486">
        <f t="shared" si="42"/>
        <v>328673.5</v>
      </c>
      <c r="H134" s="487">
        <f t="shared" si="39"/>
        <v>73256.150936719205</v>
      </c>
      <c r="I134" s="543">
        <f t="shared" si="40"/>
        <v>73256.150936719205</v>
      </c>
      <c r="J134" s="479">
        <f t="shared" si="43"/>
        <v>0</v>
      </c>
      <c r="K134" s="479"/>
      <c r="L134" s="488"/>
      <c r="M134" s="479">
        <f t="shared" si="44"/>
        <v>0</v>
      </c>
      <c r="N134" s="488"/>
      <c r="O134" s="479">
        <f t="shared" si="45"/>
        <v>0</v>
      </c>
      <c r="P134" s="479">
        <f t="shared" si="46"/>
        <v>0</v>
      </c>
    </row>
    <row r="135" spans="2:16" ht="12.5">
      <c r="B135" s="160" t="str">
        <f t="shared" si="28"/>
        <v/>
      </c>
      <c r="C135" s="473">
        <f>IF(D93="","-",+C134+1)</f>
        <v>2044</v>
      </c>
      <c r="D135" s="347">
        <f>IF(F134+SUM(E$99:E134)=D$92,F134,D$92-SUM(E$99:E134))</f>
        <v>310993</v>
      </c>
      <c r="E135" s="487">
        <f>IF(+J96&lt;F134,J96,D135)</f>
        <v>35361</v>
      </c>
      <c r="F135" s="486">
        <f t="shared" si="41"/>
        <v>275632</v>
      </c>
      <c r="G135" s="486">
        <f t="shared" si="42"/>
        <v>293312.5</v>
      </c>
      <c r="H135" s="487">
        <f t="shared" si="39"/>
        <v>69179.124853772664</v>
      </c>
      <c r="I135" s="543">
        <f t="shared" si="40"/>
        <v>69179.124853772664</v>
      </c>
      <c r="J135" s="479">
        <f t="shared" si="43"/>
        <v>0</v>
      </c>
      <c r="K135" s="479"/>
      <c r="L135" s="488"/>
      <c r="M135" s="479">
        <f t="shared" si="44"/>
        <v>0</v>
      </c>
      <c r="N135" s="488"/>
      <c r="O135" s="479">
        <f t="shared" si="45"/>
        <v>0</v>
      </c>
      <c r="P135" s="479">
        <f t="shared" si="46"/>
        <v>0</v>
      </c>
    </row>
    <row r="136" spans="2:16" ht="12.5">
      <c r="B136" s="160" t="str">
        <f t="shared" si="28"/>
        <v/>
      </c>
      <c r="C136" s="473">
        <f>IF(D93="","-",+C135+1)</f>
        <v>2045</v>
      </c>
      <c r="D136" s="347">
        <f>IF(F135+SUM(E$99:E135)=D$92,F135,D$92-SUM(E$99:E135))</f>
        <v>275632</v>
      </c>
      <c r="E136" s="487">
        <f>IF(+J96&lt;F135,J96,D136)</f>
        <v>35361</v>
      </c>
      <c r="F136" s="486">
        <f t="shared" si="41"/>
        <v>240271</v>
      </c>
      <c r="G136" s="486">
        <f t="shared" si="42"/>
        <v>257951.5</v>
      </c>
      <c r="H136" s="487">
        <f t="shared" si="39"/>
        <v>65102.098770826124</v>
      </c>
      <c r="I136" s="543">
        <f t="shared" si="40"/>
        <v>65102.098770826124</v>
      </c>
      <c r="J136" s="479">
        <f t="shared" si="43"/>
        <v>0</v>
      </c>
      <c r="K136" s="479"/>
      <c r="L136" s="488"/>
      <c r="M136" s="479">
        <f t="shared" si="44"/>
        <v>0</v>
      </c>
      <c r="N136" s="488"/>
      <c r="O136" s="479">
        <f t="shared" si="45"/>
        <v>0</v>
      </c>
      <c r="P136" s="479">
        <f t="shared" si="46"/>
        <v>0</v>
      </c>
    </row>
    <row r="137" spans="2:16" ht="12.5">
      <c r="B137" s="160" t="str">
        <f t="shared" si="28"/>
        <v/>
      </c>
      <c r="C137" s="473">
        <f>IF(D93="","-",+C136+1)</f>
        <v>2046</v>
      </c>
      <c r="D137" s="347">
        <f>IF(F136+SUM(E$99:E136)=D$92,F136,D$92-SUM(E$99:E136))</f>
        <v>240271</v>
      </c>
      <c r="E137" s="487">
        <f>IF(+J96&lt;F136,J96,D137)</f>
        <v>35361</v>
      </c>
      <c r="F137" s="486">
        <f t="shared" si="41"/>
        <v>204910</v>
      </c>
      <c r="G137" s="486">
        <f t="shared" si="42"/>
        <v>222590.5</v>
      </c>
      <c r="H137" s="487">
        <f t="shared" si="39"/>
        <v>61025.072687879598</v>
      </c>
      <c r="I137" s="543">
        <f t="shared" si="40"/>
        <v>61025.072687879598</v>
      </c>
      <c r="J137" s="479">
        <f t="shared" si="43"/>
        <v>0</v>
      </c>
      <c r="K137" s="479"/>
      <c r="L137" s="488"/>
      <c r="M137" s="479">
        <f t="shared" si="44"/>
        <v>0</v>
      </c>
      <c r="N137" s="488"/>
      <c r="O137" s="479">
        <f t="shared" si="45"/>
        <v>0</v>
      </c>
      <c r="P137" s="479">
        <f t="shared" si="46"/>
        <v>0</v>
      </c>
    </row>
    <row r="138" spans="2:16" ht="12.5">
      <c r="B138" s="160" t="str">
        <f t="shared" si="28"/>
        <v/>
      </c>
      <c r="C138" s="473">
        <f>IF(D93="","-",+C137+1)</f>
        <v>2047</v>
      </c>
      <c r="D138" s="347">
        <f>IF(F137+SUM(E$99:E137)=D$92,F137,D$92-SUM(E$99:E137))</f>
        <v>204910</v>
      </c>
      <c r="E138" s="487">
        <f>IF(+J96&lt;F137,J96,D138)</f>
        <v>35361</v>
      </c>
      <c r="F138" s="486">
        <f t="shared" si="41"/>
        <v>169549</v>
      </c>
      <c r="G138" s="486">
        <f t="shared" si="42"/>
        <v>187229.5</v>
      </c>
      <c r="H138" s="487">
        <f t="shared" si="39"/>
        <v>56948.046604933057</v>
      </c>
      <c r="I138" s="543">
        <f t="shared" si="40"/>
        <v>56948.046604933057</v>
      </c>
      <c r="J138" s="479">
        <f t="shared" si="43"/>
        <v>0</v>
      </c>
      <c r="K138" s="479"/>
      <c r="L138" s="488"/>
      <c r="M138" s="479">
        <f t="shared" si="44"/>
        <v>0</v>
      </c>
      <c r="N138" s="488"/>
      <c r="O138" s="479">
        <f t="shared" si="45"/>
        <v>0</v>
      </c>
      <c r="P138" s="479">
        <f t="shared" si="46"/>
        <v>0</v>
      </c>
    </row>
    <row r="139" spans="2:16" ht="12.5">
      <c r="B139" s="160" t="str">
        <f t="shared" si="28"/>
        <v/>
      </c>
      <c r="C139" s="473">
        <f>IF(D93="","-",+C138+1)</f>
        <v>2048</v>
      </c>
      <c r="D139" s="347">
        <f>IF(F138+SUM(E$99:E138)=D$92,F138,D$92-SUM(E$99:E138))</f>
        <v>169549</v>
      </c>
      <c r="E139" s="487">
        <f>IF(+J96&lt;F138,J96,D139)</f>
        <v>35361</v>
      </c>
      <c r="F139" s="486">
        <f t="shared" si="41"/>
        <v>134188</v>
      </c>
      <c r="G139" s="486">
        <f t="shared" si="42"/>
        <v>151868.5</v>
      </c>
      <c r="H139" s="487">
        <f t="shared" si="39"/>
        <v>52871.020521986531</v>
      </c>
      <c r="I139" s="543">
        <f t="shared" si="40"/>
        <v>52871.020521986531</v>
      </c>
      <c r="J139" s="479">
        <f t="shared" si="43"/>
        <v>0</v>
      </c>
      <c r="K139" s="479"/>
      <c r="L139" s="488"/>
      <c r="M139" s="479">
        <f t="shared" si="44"/>
        <v>0</v>
      </c>
      <c r="N139" s="488"/>
      <c r="O139" s="479">
        <f t="shared" si="45"/>
        <v>0</v>
      </c>
      <c r="P139" s="479">
        <f t="shared" si="46"/>
        <v>0</v>
      </c>
    </row>
    <row r="140" spans="2:16" ht="12.5">
      <c r="B140" s="160" t="str">
        <f t="shared" si="28"/>
        <v/>
      </c>
      <c r="C140" s="473">
        <f>IF(D93="","-",+C139+1)</f>
        <v>2049</v>
      </c>
      <c r="D140" s="347">
        <f>IF(F139+SUM(E$99:E139)=D$92,F139,D$92-SUM(E$99:E139))</f>
        <v>134188</v>
      </c>
      <c r="E140" s="487">
        <f>IF(+J96&lt;F139,J96,D140)</f>
        <v>35361</v>
      </c>
      <c r="F140" s="486">
        <f t="shared" si="41"/>
        <v>98827</v>
      </c>
      <c r="G140" s="486">
        <f t="shared" si="42"/>
        <v>116507.5</v>
      </c>
      <c r="H140" s="487">
        <f t="shared" si="39"/>
        <v>48793.994439039991</v>
      </c>
      <c r="I140" s="543">
        <f t="shared" si="40"/>
        <v>48793.994439039991</v>
      </c>
      <c r="J140" s="479">
        <f t="shared" si="43"/>
        <v>0</v>
      </c>
      <c r="K140" s="479"/>
      <c r="L140" s="488"/>
      <c r="M140" s="479">
        <f t="shared" si="44"/>
        <v>0</v>
      </c>
      <c r="N140" s="488"/>
      <c r="O140" s="479">
        <f t="shared" si="45"/>
        <v>0</v>
      </c>
      <c r="P140" s="479">
        <f t="shared" si="46"/>
        <v>0</v>
      </c>
    </row>
    <row r="141" spans="2:16" ht="12.5">
      <c r="B141" s="160" t="str">
        <f t="shared" si="28"/>
        <v/>
      </c>
      <c r="C141" s="473">
        <f>IF(D93="","-",+C140+1)</f>
        <v>2050</v>
      </c>
      <c r="D141" s="347">
        <f>IF(F140+SUM(E$99:E140)=D$92,F140,D$92-SUM(E$99:E140))</f>
        <v>98827</v>
      </c>
      <c r="E141" s="487">
        <f>IF(+J96&lt;F140,J96,D141)</f>
        <v>35361</v>
      </c>
      <c r="F141" s="486">
        <f t="shared" si="41"/>
        <v>63466</v>
      </c>
      <c r="G141" s="486">
        <f t="shared" si="42"/>
        <v>81146.5</v>
      </c>
      <c r="H141" s="487">
        <f t="shared" si="39"/>
        <v>44716.968356093465</v>
      </c>
      <c r="I141" s="543">
        <f t="shared" si="40"/>
        <v>44716.968356093465</v>
      </c>
      <c r="J141" s="479">
        <f t="shared" si="43"/>
        <v>0</v>
      </c>
      <c r="K141" s="479"/>
      <c r="L141" s="488"/>
      <c r="M141" s="479">
        <f t="shared" si="44"/>
        <v>0</v>
      </c>
      <c r="N141" s="488"/>
      <c r="O141" s="479">
        <f t="shared" si="45"/>
        <v>0</v>
      </c>
      <c r="P141" s="479">
        <f t="shared" si="46"/>
        <v>0</v>
      </c>
    </row>
    <row r="142" spans="2:16" ht="12.5">
      <c r="B142" s="160" t="str">
        <f t="shared" si="28"/>
        <v/>
      </c>
      <c r="C142" s="473">
        <f>IF(D93="","-",+C141+1)</f>
        <v>2051</v>
      </c>
      <c r="D142" s="347">
        <f>IF(F141+SUM(E$99:E141)=D$92,F141,D$92-SUM(E$99:E141))</f>
        <v>63466</v>
      </c>
      <c r="E142" s="487">
        <f>IF(+J96&lt;F141,J96,D142)</f>
        <v>35361</v>
      </c>
      <c r="F142" s="486">
        <f t="shared" si="41"/>
        <v>28105</v>
      </c>
      <c r="G142" s="486">
        <f t="shared" si="42"/>
        <v>45785.5</v>
      </c>
      <c r="H142" s="487">
        <f t="shared" si="39"/>
        <v>40639.942273146924</v>
      </c>
      <c r="I142" s="543">
        <f t="shared" si="40"/>
        <v>40639.942273146924</v>
      </c>
      <c r="J142" s="479">
        <f t="shared" si="43"/>
        <v>0</v>
      </c>
      <c r="K142" s="479"/>
      <c r="L142" s="488"/>
      <c r="M142" s="479">
        <f t="shared" si="44"/>
        <v>0</v>
      </c>
      <c r="N142" s="488"/>
      <c r="O142" s="479">
        <f t="shared" si="45"/>
        <v>0</v>
      </c>
      <c r="P142" s="479">
        <f t="shared" si="46"/>
        <v>0</v>
      </c>
    </row>
    <row r="143" spans="2:16" ht="12.5">
      <c r="B143" s="160" t="str">
        <f t="shared" si="28"/>
        <v/>
      </c>
      <c r="C143" s="473">
        <f>IF(D93="","-",+C142+1)</f>
        <v>2052</v>
      </c>
      <c r="D143" s="347">
        <f>IF(F142+SUM(E$99:E142)=D$92,F142,D$92-SUM(E$99:E142))</f>
        <v>28105</v>
      </c>
      <c r="E143" s="487">
        <f>IF(+J96&lt;F142,J96,D143)</f>
        <v>28105</v>
      </c>
      <c r="F143" s="486">
        <f t="shared" si="41"/>
        <v>0</v>
      </c>
      <c r="G143" s="486">
        <f t="shared" si="42"/>
        <v>14052.5</v>
      </c>
      <c r="H143" s="487">
        <f t="shared" si="39"/>
        <v>29725.21461583683</v>
      </c>
      <c r="I143" s="543">
        <f t="shared" si="40"/>
        <v>29725.21461583683</v>
      </c>
      <c r="J143" s="479">
        <f t="shared" si="43"/>
        <v>0</v>
      </c>
      <c r="K143" s="479"/>
      <c r="L143" s="488"/>
      <c r="M143" s="479">
        <f t="shared" si="44"/>
        <v>0</v>
      </c>
      <c r="N143" s="488"/>
      <c r="O143" s="479">
        <f t="shared" si="45"/>
        <v>0</v>
      </c>
      <c r="P143" s="479">
        <f t="shared" si="46"/>
        <v>0</v>
      </c>
    </row>
    <row r="144" spans="2:16" ht="12.5">
      <c r="B144" s="160" t="str">
        <f t="shared" si="28"/>
        <v/>
      </c>
      <c r="C144" s="473">
        <f>IF(D93="","-",+C143+1)</f>
        <v>2053</v>
      </c>
      <c r="D144" s="347">
        <f>IF(F143+SUM(E$99:E143)=D$92,F143,D$92-SUM(E$99:E143))</f>
        <v>0</v>
      </c>
      <c r="E144" s="487">
        <f>IF(+J96&lt;F143,J96,D144)</f>
        <v>0</v>
      </c>
      <c r="F144" s="486">
        <f t="shared" si="41"/>
        <v>0</v>
      </c>
      <c r="G144" s="486">
        <f t="shared" si="42"/>
        <v>0</v>
      </c>
      <c r="H144" s="487">
        <f t="shared" si="39"/>
        <v>0</v>
      </c>
      <c r="I144" s="543">
        <f t="shared" si="40"/>
        <v>0</v>
      </c>
      <c r="J144" s="479">
        <f t="shared" si="43"/>
        <v>0</v>
      </c>
      <c r="K144" s="479"/>
      <c r="L144" s="488"/>
      <c r="M144" s="479">
        <f t="shared" si="44"/>
        <v>0</v>
      </c>
      <c r="N144" s="488"/>
      <c r="O144" s="479">
        <f t="shared" si="45"/>
        <v>0</v>
      </c>
      <c r="P144" s="479">
        <f t="shared" si="46"/>
        <v>0</v>
      </c>
    </row>
    <row r="145" spans="2:16" ht="12.5">
      <c r="B145" s="160" t="str">
        <f t="shared" si="28"/>
        <v/>
      </c>
      <c r="C145" s="473">
        <f>IF(D93="","-",+C144+1)</f>
        <v>2054</v>
      </c>
      <c r="D145" s="347">
        <f>IF(F144+SUM(E$99:E144)=D$92,F144,D$92-SUM(E$99:E144))</f>
        <v>0</v>
      </c>
      <c r="E145" s="487">
        <f>IF(+J96&lt;F144,J96,D145)</f>
        <v>0</v>
      </c>
      <c r="F145" s="486">
        <f t="shared" si="41"/>
        <v>0</v>
      </c>
      <c r="G145" s="486">
        <f t="shared" si="42"/>
        <v>0</v>
      </c>
      <c r="H145" s="487">
        <f t="shared" si="39"/>
        <v>0</v>
      </c>
      <c r="I145" s="543">
        <f t="shared" si="40"/>
        <v>0</v>
      </c>
      <c r="J145" s="479">
        <f t="shared" si="43"/>
        <v>0</v>
      </c>
      <c r="K145" s="479"/>
      <c r="L145" s="488"/>
      <c r="M145" s="479">
        <f t="shared" si="44"/>
        <v>0</v>
      </c>
      <c r="N145" s="488"/>
      <c r="O145" s="479">
        <f t="shared" si="45"/>
        <v>0</v>
      </c>
      <c r="P145" s="479">
        <f t="shared" si="46"/>
        <v>0</v>
      </c>
    </row>
    <row r="146" spans="2:16" ht="12.5">
      <c r="B146" s="160" t="str">
        <f t="shared" si="28"/>
        <v/>
      </c>
      <c r="C146" s="473">
        <f>IF(D93="","-",+C145+1)</f>
        <v>2055</v>
      </c>
      <c r="D146" s="347">
        <f>IF(F145+SUM(E$99:E145)=D$92,F145,D$92-SUM(E$99:E145))</f>
        <v>0</v>
      </c>
      <c r="E146" s="487">
        <f>IF(+J96&lt;F145,J96,D146)</f>
        <v>0</v>
      </c>
      <c r="F146" s="486">
        <f t="shared" si="41"/>
        <v>0</v>
      </c>
      <c r="G146" s="486">
        <f t="shared" si="42"/>
        <v>0</v>
      </c>
      <c r="H146" s="487">
        <f t="shared" si="39"/>
        <v>0</v>
      </c>
      <c r="I146" s="543">
        <f t="shared" si="40"/>
        <v>0</v>
      </c>
      <c r="J146" s="479">
        <f t="shared" si="43"/>
        <v>0</v>
      </c>
      <c r="K146" s="479"/>
      <c r="L146" s="488"/>
      <c r="M146" s="479">
        <f t="shared" si="44"/>
        <v>0</v>
      </c>
      <c r="N146" s="488"/>
      <c r="O146" s="479">
        <f t="shared" si="45"/>
        <v>0</v>
      </c>
      <c r="P146" s="479">
        <f t="shared" si="46"/>
        <v>0</v>
      </c>
    </row>
    <row r="147" spans="2:16" ht="12.5">
      <c r="B147" s="160" t="str">
        <f t="shared" si="28"/>
        <v/>
      </c>
      <c r="C147" s="473">
        <f>IF(D93="","-",+C146+1)</f>
        <v>2056</v>
      </c>
      <c r="D147" s="347">
        <f>IF(F146+SUM(E$99:E146)=D$92,F146,D$92-SUM(E$99:E146))</f>
        <v>0</v>
      </c>
      <c r="E147" s="487">
        <f>IF(+J96&lt;F146,J96,D147)</f>
        <v>0</v>
      </c>
      <c r="F147" s="486">
        <f t="shared" si="41"/>
        <v>0</v>
      </c>
      <c r="G147" s="486">
        <f t="shared" si="42"/>
        <v>0</v>
      </c>
      <c r="H147" s="487">
        <f t="shared" si="39"/>
        <v>0</v>
      </c>
      <c r="I147" s="543">
        <f t="shared" si="40"/>
        <v>0</v>
      </c>
      <c r="J147" s="479">
        <f t="shared" si="43"/>
        <v>0</v>
      </c>
      <c r="K147" s="479"/>
      <c r="L147" s="488"/>
      <c r="M147" s="479">
        <f t="shared" si="44"/>
        <v>0</v>
      </c>
      <c r="N147" s="488"/>
      <c r="O147" s="479">
        <f t="shared" si="45"/>
        <v>0</v>
      </c>
      <c r="P147" s="479">
        <f t="shared" si="46"/>
        <v>0</v>
      </c>
    </row>
    <row r="148" spans="2:16" ht="12.5">
      <c r="B148" s="160" t="str">
        <f t="shared" si="28"/>
        <v/>
      </c>
      <c r="C148" s="473">
        <f>IF(D93="","-",+C147+1)</f>
        <v>2057</v>
      </c>
      <c r="D148" s="347">
        <f>IF(F147+SUM(E$99:E147)=D$92,F147,D$92-SUM(E$99:E147))</f>
        <v>0</v>
      </c>
      <c r="E148" s="487">
        <f>IF(+J96&lt;F147,J96,D148)</f>
        <v>0</v>
      </c>
      <c r="F148" s="486">
        <f t="shared" si="41"/>
        <v>0</v>
      </c>
      <c r="G148" s="486">
        <f t="shared" si="42"/>
        <v>0</v>
      </c>
      <c r="H148" s="487">
        <f t="shared" si="39"/>
        <v>0</v>
      </c>
      <c r="I148" s="543">
        <f t="shared" si="40"/>
        <v>0</v>
      </c>
      <c r="J148" s="479">
        <f t="shared" si="43"/>
        <v>0</v>
      </c>
      <c r="K148" s="479"/>
      <c r="L148" s="488"/>
      <c r="M148" s="479">
        <f t="shared" si="44"/>
        <v>0</v>
      </c>
      <c r="N148" s="488"/>
      <c r="O148" s="479">
        <f t="shared" si="45"/>
        <v>0</v>
      </c>
      <c r="P148" s="479">
        <f t="shared" si="46"/>
        <v>0</v>
      </c>
    </row>
    <row r="149" spans="2:16" ht="12.5">
      <c r="B149" s="160" t="str">
        <f t="shared" si="28"/>
        <v/>
      </c>
      <c r="C149" s="473">
        <f>IF(D93="","-",+C148+1)</f>
        <v>2058</v>
      </c>
      <c r="D149" s="347">
        <f>IF(F148+SUM(E$99:E148)=D$92,F148,D$92-SUM(E$99:E148))</f>
        <v>0</v>
      </c>
      <c r="E149" s="487">
        <f>IF(+J96&lt;F148,J96,D149)</f>
        <v>0</v>
      </c>
      <c r="F149" s="486">
        <f t="shared" si="41"/>
        <v>0</v>
      </c>
      <c r="G149" s="486">
        <f t="shared" si="42"/>
        <v>0</v>
      </c>
      <c r="H149" s="487">
        <f t="shared" si="39"/>
        <v>0</v>
      </c>
      <c r="I149" s="543">
        <f t="shared" si="40"/>
        <v>0</v>
      </c>
      <c r="J149" s="479">
        <f t="shared" si="43"/>
        <v>0</v>
      </c>
      <c r="K149" s="479"/>
      <c r="L149" s="488"/>
      <c r="M149" s="479">
        <f t="shared" si="44"/>
        <v>0</v>
      </c>
      <c r="N149" s="488"/>
      <c r="O149" s="479">
        <f t="shared" si="45"/>
        <v>0</v>
      </c>
      <c r="P149" s="479">
        <f t="shared" si="46"/>
        <v>0</v>
      </c>
    </row>
    <row r="150" spans="2:16" ht="12.5">
      <c r="B150" s="160" t="str">
        <f t="shared" si="28"/>
        <v/>
      </c>
      <c r="C150" s="473">
        <f>IF(D93="","-",+C149+1)</f>
        <v>2059</v>
      </c>
      <c r="D150" s="347">
        <f>IF(F149+SUM(E$99:E149)=D$92,F149,D$92-SUM(E$99:E149))</f>
        <v>0</v>
      </c>
      <c r="E150" s="487">
        <f>IF(+J96&lt;F149,J96,D150)</f>
        <v>0</v>
      </c>
      <c r="F150" s="486">
        <f t="shared" si="41"/>
        <v>0</v>
      </c>
      <c r="G150" s="486">
        <f t="shared" si="42"/>
        <v>0</v>
      </c>
      <c r="H150" s="487">
        <f t="shared" si="39"/>
        <v>0</v>
      </c>
      <c r="I150" s="543">
        <f t="shared" si="40"/>
        <v>0</v>
      </c>
      <c r="J150" s="479">
        <f t="shared" si="43"/>
        <v>0</v>
      </c>
      <c r="K150" s="479"/>
      <c r="L150" s="488"/>
      <c r="M150" s="479">
        <f t="shared" si="44"/>
        <v>0</v>
      </c>
      <c r="N150" s="488"/>
      <c r="O150" s="479">
        <f t="shared" si="45"/>
        <v>0</v>
      </c>
      <c r="P150" s="479">
        <f t="shared" si="46"/>
        <v>0</v>
      </c>
    </row>
    <row r="151" spans="2:16" ht="12.5">
      <c r="B151" s="160" t="str">
        <f t="shared" si="28"/>
        <v/>
      </c>
      <c r="C151" s="473">
        <f>IF(D93="","-",+C150+1)</f>
        <v>2060</v>
      </c>
      <c r="D151" s="347">
        <f>IF(F150+SUM(E$99:E150)=D$92,F150,D$92-SUM(E$99:E150))</f>
        <v>0</v>
      </c>
      <c r="E151" s="487">
        <f>IF(+J96&lt;F150,J96,D151)</f>
        <v>0</v>
      </c>
      <c r="F151" s="486">
        <f t="shared" si="41"/>
        <v>0</v>
      </c>
      <c r="G151" s="486">
        <f t="shared" si="42"/>
        <v>0</v>
      </c>
      <c r="H151" s="487">
        <f t="shared" si="39"/>
        <v>0</v>
      </c>
      <c r="I151" s="543">
        <f t="shared" si="40"/>
        <v>0</v>
      </c>
      <c r="J151" s="479">
        <f t="shared" si="43"/>
        <v>0</v>
      </c>
      <c r="K151" s="479"/>
      <c r="L151" s="488"/>
      <c r="M151" s="479">
        <f t="shared" si="44"/>
        <v>0</v>
      </c>
      <c r="N151" s="488"/>
      <c r="O151" s="479">
        <f t="shared" si="45"/>
        <v>0</v>
      </c>
      <c r="P151" s="479">
        <f t="shared" si="46"/>
        <v>0</v>
      </c>
    </row>
    <row r="152" spans="2:16" ht="12.5">
      <c r="B152" s="160" t="str">
        <f t="shared" si="28"/>
        <v/>
      </c>
      <c r="C152" s="473">
        <f>IF(D93="","-",+C151+1)</f>
        <v>2061</v>
      </c>
      <c r="D152" s="347">
        <f>IF(F151+SUM(E$99:E151)=D$92,F151,D$92-SUM(E$99:E151))</f>
        <v>0</v>
      </c>
      <c r="E152" s="487">
        <f>IF(+J96&lt;F151,J96,D152)</f>
        <v>0</v>
      </c>
      <c r="F152" s="486">
        <f t="shared" si="41"/>
        <v>0</v>
      </c>
      <c r="G152" s="486">
        <f t="shared" si="42"/>
        <v>0</v>
      </c>
      <c r="H152" s="487">
        <f t="shared" si="39"/>
        <v>0</v>
      </c>
      <c r="I152" s="543">
        <f t="shared" si="40"/>
        <v>0</v>
      </c>
      <c r="J152" s="479">
        <f t="shared" si="43"/>
        <v>0</v>
      </c>
      <c r="K152" s="479"/>
      <c r="L152" s="488"/>
      <c r="M152" s="479">
        <f t="shared" si="44"/>
        <v>0</v>
      </c>
      <c r="N152" s="488"/>
      <c r="O152" s="479">
        <f t="shared" si="45"/>
        <v>0</v>
      </c>
      <c r="P152" s="479">
        <f t="shared" si="46"/>
        <v>0</v>
      </c>
    </row>
    <row r="153" spans="2:16" ht="12.5">
      <c r="B153" s="160" t="str">
        <f t="shared" si="28"/>
        <v/>
      </c>
      <c r="C153" s="473">
        <f>IF(D93="","-",+C152+1)</f>
        <v>2062</v>
      </c>
      <c r="D153" s="347">
        <f>IF(F152+SUM(E$99:E152)=D$92,F152,D$92-SUM(E$99:E152))</f>
        <v>0</v>
      </c>
      <c r="E153" s="487">
        <f>IF(+J96&lt;F152,J96,D153)</f>
        <v>0</v>
      </c>
      <c r="F153" s="486">
        <f t="shared" si="41"/>
        <v>0</v>
      </c>
      <c r="G153" s="486">
        <f t="shared" si="42"/>
        <v>0</v>
      </c>
      <c r="H153" s="487">
        <f t="shared" si="39"/>
        <v>0</v>
      </c>
      <c r="I153" s="543">
        <f t="shared" si="40"/>
        <v>0</v>
      </c>
      <c r="J153" s="479">
        <f t="shared" si="43"/>
        <v>0</v>
      </c>
      <c r="K153" s="479"/>
      <c r="L153" s="488"/>
      <c r="M153" s="479">
        <f t="shared" si="44"/>
        <v>0</v>
      </c>
      <c r="N153" s="488"/>
      <c r="O153" s="479">
        <f t="shared" si="45"/>
        <v>0</v>
      </c>
      <c r="P153" s="479">
        <f t="shared" si="46"/>
        <v>0</v>
      </c>
    </row>
    <row r="154" spans="2:16" ht="13" thickBot="1">
      <c r="B154" s="160" t="str">
        <f t="shared" si="28"/>
        <v/>
      </c>
      <c r="C154" s="490">
        <f>IF(D93="","-",+C153+1)</f>
        <v>2063</v>
      </c>
      <c r="D154" s="544">
        <f>IF(F153+SUM(E$99:E153)=D$92,F153,D$92-SUM(E$99:E153))</f>
        <v>0</v>
      </c>
      <c r="E154" s="545">
        <f>IF(+J96&lt;F153,J96,D154)</f>
        <v>0</v>
      </c>
      <c r="F154" s="491">
        <f t="shared" si="41"/>
        <v>0</v>
      </c>
      <c r="G154" s="491">
        <f t="shared" si="42"/>
        <v>0</v>
      </c>
      <c r="H154" s="493">
        <f t="shared" ref="H154" si="47">+J$94*G154+E154</f>
        <v>0</v>
      </c>
      <c r="I154" s="546">
        <f t="shared" ref="I154" si="48">+J$95*G154+E154</f>
        <v>0</v>
      </c>
      <c r="J154" s="496">
        <f t="shared" si="43"/>
        <v>0</v>
      </c>
      <c r="K154" s="479"/>
      <c r="L154" s="495"/>
      <c r="M154" s="496">
        <f t="shared" si="44"/>
        <v>0</v>
      </c>
      <c r="N154" s="495"/>
      <c r="O154" s="496">
        <f t="shared" si="45"/>
        <v>0</v>
      </c>
      <c r="P154" s="496">
        <f t="shared" si="46"/>
        <v>0</v>
      </c>
    </row>
    <row r="155" spans="2:16" ht="12.5">
      <c r="C155" s="347" t="s">
        <v>77</v>
      </c>
      <c r="D155" s="348"/>
      <c r="E155" s="348">
        <f>SUM(E99:E154)</f>
        <v>1520502</v>
      </c>
      <c r="F155" s="348"/>
      <c r="G155" s="348"/>
      <c r="H155" s="348">
        <f>SUM(H99:H154)</f>
        <v>5821160.8880253294</v>
      </c>
      <c r="I155" s="348">
        <f>SUM(I99:I154)</f>
        <v>5821160.8880253294</v>
      </c>
      <c r="J155" s="348">
        <f>SUM(J99:J154)</f>
        <v>0</v>
      </c>
      <c r="K155" s="348"/>
      <c r="L155" s="348"/>
      <c r="M155" s="348"/>
      <c r="N155" s="348"/>
      <c r="O155" s="348"/>
      <c r="P155" s="233"/>
    </row>
    <row r="156" spans="2:16" ht="12.5">
      <c r="C156" s="148" t="s">
        <v>100</v>
      </c>
      <c r="D156" s="241"/>
      <c r="E156" s="233"/>
      <c r="F156" s="233"/>
      <c r="G156" s="233"/>
      <c r="H156" s="233"/>
      <c r="I156" s="242"/>
      <c r="J156" s="242"/>
      <c r="K156" s="348"/>
      <c r="L156" s="242"/>
      <c r="M156" s="242"/>
      <c r="N156" s="242"/>
      <c r="O156" s="242"/>
      <c r="P156" s="233"/>
    </row>
    <row r="157" spans="2:16" ht="12.5">
      <c r="C157" s="547"/>
      <c r="D157" s="241"/>
      <c r="E157" s="233"/>
      <c r="F157" s="233"/>
      <c r="G157" s="233"/>
      <c r="H157" s="233"/>
      <c r="I157" s="242"/>
      <c r="J157" s="242"/>
      <c r="K157" s="348"/>
      <c r="L157" s="242"/>
      <c r="M157" s="242"/>
      <c r="N157" s="242"/>
      <c r="O157" s="242"/>
      <c r="P157" s="233"/>
    </row>
    <row r="158" spans="2:16" ht="13">
      <c r="C158" s="564" t="s">
        <v>148</v>
      </c>
      <c r="D158" s="241"/>
      <c r="E158" s="233"/>
      <c r="F158" s="233"/>
      <c r="G158" s="233"/>
      <c r="H158" s="233"/>
      <c r="I158" s="242"/>
      <c r="J158" s="242"/>
      <c r="K158" s="348"/>
      <c r="L158" s="242"/>
      <c r="M158" s="242"/>
      <c r="N158" s="242"/>
      <c r="O158" s="242"/>
      <c r="P158" s="233"/>
    </row>
    <row r="159" spans="2:16" ht="13">
      <c r="C159" s="432" t="s">
        <v>78</v>
      </c>
      <c r="D159" s="347"/>
      <c r="E159" s="347"/>
      <c r="F159" s="347"/>
      <c r="G159" s="347"/>
      <c r="H159" s="348"/>
      <c r="I159" s="348"/>
      <c r="J159" s="349"/>
      <c r="K159" s="349"/>
      <c r="L159" s="349"/>
      <c r="M159" s="349"/>
      <c r="N159" s="349"/>
      <c r="O159" s="349"/>
      <c r="P159" s="233"/>
    </row>
    <row r="160" spans="2:16" ht="13">
      <c r="C160" s="548" t="s">
        <v>79</v>
      </c>
      <c r="D160" s="347"/>
      <c r="E160" s="347"/>
      <c r="F160" s="347"/>
      <c r="G160" s="347"/>
      <c r="H160" s="348"/>
      <c r="I160" s="348"/>
      <c r="J160" s="349"/>
      <c r="K160" s="349"/>
      <c r="L160" s="349"/>
      <c r="M160" s="349"/>
      <c r="N160" s="349"/>
      <c r="O160" s="349"/>
      <c r="P160" s="233"/>
    </row>
    <row r="161" spans="3:16" ht="13">
      <c r="C161" s="548"/>
      <c r="D161" s="347"/>
      <c r="E161" s="347"/>
      <c r="F161" s="347"/>
      <c r="G161" s="347"/>
      <c r="H161" s="348"/>
      <c r="I161" s="348"/>
      <c r="J161" s="349"/>
      <c r="K161" s="349"/>
      <c r="L161" s="349"/>
      <c r="M161" s="349"/>
      <c r="N161" s="349"/>
      <c r="O161" s="349"/>
      <c r="P161" s="233"/>
    </row>
    <row r="162" spans="3:16" ht="17.5">
      <c r="C162" s="548"/>
      <c r="D162" s="347"/>
      <c r="E162" s="347"/>
      <c r="F162" s="347"/>
      <c r="G162" s="347"/>
      <c r="H162" s="348"/>
      <c r="I162" s="348"/>
      <c r="J162" s="349"/>
      <c r="K162" s="349"/>
      <c r="L162" s="349"/>
      <c r="M162" s="349"/>
      <c r="N162" s="349"/>
      <c r="P162" s="554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7B20A5E8-016B-45D6-ABBF-EC4152D60E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28</vt:i4>
      </vt:variant>
    </vt:vector>
  </HeadingPairs>
  <TitlesOfParts>
    <vt:vector size="60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s177040</cp:lastModifiedBy>
  <cp:lastPrinted>2019-05-20T13:24:17Z</cp:lastPrinted>
  <dcterms:created xsi:type="dcterms:W3CDTF">2009-05-11T14:02:48Z</dcterms:created>
  <dcterms:modified xsi:type="dcterms:W3CDTF">2021-05-24T21:37:36Z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b2c80a7b-f289-41ae-b128-3b3f639b0f35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